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30" windowWidth="14070" windowHeight="11010" tabRatio="685" activeTab="4"/>
  </bookViews>
  <sheets>
    <sheet name="прил6" sheetId="1" r:id="rId1"/>
    <sheet name="прил7" sheetId="41" r:id="rId2"/>
    <sheet name="прил8" sheetId="33" r:id="rId3"/>
    <sheet name="прил9" sheetId="42" r:id="rId4"/>
    <sheet name="прил12" sheetId="43" r:id="rId5"/>
    <sheet name="Прочие" sheetId="40" state="hidden" r:id="rId6"/>
  </sheets>
  <definedNames>
    <definedName name="_xlnm._FilterDatabase" localSheetId="1" hidden="1">прил7!$A$34:$W$108</definedName>
    <definedName name="_xlnm._FilterDatabase" localSheetId="2" hidden="1">прил8!$A$34:$Y$112</definedName>
    <definedName name="_xlnm._FilterDatabase" localSheetId="3" hidden="1">прил9!$A$34:$U$112</definedName>
    <definedName name="ID_604121" localSheetId="0">#REF!</definedName>
    <definedName name="ID_604121" localSheetId="1">#REF!</definedName>
    <definedName name="ID_604121" localSheetId="3">#REF!</definedName>
    <definedName name="ID_604121" localSheetId="5">#REF!</definedName>
    <definedName name="ID_604121">#REF!</definedName>
    <definedName name="id_604122" localSheetId="1">#REF!</definedName>
    <definedName name="id_604122" localSheetId="3">#REF!</definedName>
    <definedName name="id_604122" localSheetId="5">#REF!</definedName>
    <definedName name="id_604122">#REF!</definedName>
    <definedName name="id_604145" localSheetId="1">#REF!</definedName>
    <definedName name="id_604145" localSheetId="3">#REF!</definedName>
    <definedName name="id_604145" localSheetId="5">#REF!</definedName>
    <definedName name="id_604145">#REF!</definedName>
    <definedName name="id_604178" localSheetId="1">#REF!</definedName>
    <definedName name="id_604178" localSheetId="3">#REF!</definedName>
    <definedName name="id_604178" localSheetId="5">#REF!</definedName>
    <definedName name="id_604178">#REF!</definedName>
    <definedName name="апап" localSheetId="1">#REF!</definedName>
    <definedName name="апап" localSheetId="3">#REF!</definedName>
    <definedName name="апап" localSheetId="5">#REF!</definedName>
    <definedName name="апап">#REF!</definedName>
    <definedName name="_xlnm.Print_Titles" localSheetId="0">прил6!$10:$10</definedName>
    <definedName name="_xlnm.Print_Titles" localSheetId="1">прил7!$10:$10</definedName>
    <definedName name="_xlnm.Print_Titles" localSheetId="2">прил8!$10:$10</definedName>
    <definedName name="_xlnm.Print_Titles" localSheetId="3">прил9!$10:$10</definedName>
    <definedName name="_xlnm.Print_Area" localSheetId="4">прил12!$A$1:$D$21</definedName>
    <definedName name="_xlnm.Print_Area" localSheetId="0">прил6!$A$1:$H$29</definedName>
    <definedName name="_xlnm.Print_Area" localSheetId="1">прил7!$A$1:$M$115</definedName>
    <definedName name="_xlnm.Print_Area" localSheetId="2">прил8!$A$1:$M$115</definedName>
    <definedName name="_xlnm.Print_Area" localSheetId="3">прил9!$A$1:$M$114</definedName>
    <definedName name="ф" localSheetId="0">#REF!</definedName>
    <definedName name="ф" localSheetId="1">#REF!</definedName>
    <definedName name="ф" localSheetId="3">#REF!</definedName>
    <definedName name="ф" localSheetId="5">#REF!</definedName>
    <definedName name="ф">#REF!</definedName>
  </definedNames>
  <calcPr calcId="145621"/>
</workbook>
</file>

<file path=xl/calcChain.xml><?xml version="1.0" encoding="utf-8"?>
<calcChain xmlns="http://schemas.openxmlformats.org/spreadsheetml/2006/main">
  <c r="F46" i="42" l="1"/>
  <c r="G46" i="42"/>
  <c r="H46" i="42"/>
  <c r="I46" i="42"/>
  <c r="J46" i="42"/>
  <c r="K46" i="42"/>
  <c r="L46" i="42"/>
  <c r="F47" i="42"/>
  <c r="G47" i="42"/>
  <c r="H47" i="42"/>
  <c r="I47" i="42"/>
  <c r="J47" i="42"/>
  <c r="K47" i="42"/>
  <c r="L47" i="42"/>
  <c r="F48" i="42"/>
  <c r="G48" i="42"/>
  <c r="H48" i="42"/>
  <c r="I48" i="42"/>
  <c r="J48" i="42"/>
  <c r="K48" i="42"/>
  <c r="L48" i="42"/>
  <c r="F49" i="42"/>
  <c r="G49" i="42"/>
  <c r="H49" i="42"/>
  <c r="I49" i="42"/>
  <c r="J49" i="42"/>
  <c r="K49" i="42"/>
  <c r="L49" i="42"/>
  <c r="F50" i="42"/>
  <c r="G50" i="42"/>
  <c r="H50" i="42"/>
  <c r="I50" i="42"/>
  <c r="J50" i="42"/>
  <c r="K50" i="42"/>
  <c r="L50" i="42"/>
  <c r="L45" i="42"/>
  <c r="K45" i="42"/>
  <c r="J45" i="42"/>
  <c r="I45" i="42"/>
  <c r="H45" i="42"/>
  <c r="G45" i="42"/>
  <c r="F45" i="42"/>
  <c r="F46" i="33"/>
  <c r="G46" i="33"/>
  <c r="H46" i="33"/>
  <c r="I46" i="33"/>
  <c r="J46" i="33"/>
  <c r="K46" i="33"/>
  <c r="L46" i="33"/>
  <c r="F47" i="33"/>
  <c r="G47" i="33"/>
  <c r="H47" i="33"/>
  <c r="I47" i="33"/>
  <c r="J47" i="33"/>
  <c r="K47" i="33"/>
  <c r="L47" i="33"/>
  <c r="F48" i="33"/>
  <c r="G48" i="33"/>
  <c r="H48" i="33"/>
  <c r="I48" i="33"/>
  <c r="J48" i="33"/>
  <c r="K48" i="33"/>
  <c r="L48" i="33"/>
  <c r="F49" i="33"/>
  <c r="G49" i="33"/>
  <c r="H49" i="33"/>
  <c r="I49" i="33"/>
  <c r="J49" i="33"/>
  <c r="K49" i="33"/>
  <c r="L49" i="33"/>
  <c r="F50" i="33"/>
  <c r="G50" i="33"/>
  <c r="H50" i="33"/>
  <c r="I50" i="33"/>
  <c r="J50" i="33"/>
  <c r="K50" i="33"/>
  <c r="L50" i="33"/>
  <c r="L45" i="33"/>
  <c r="K45" i="33"/>
  <c r="J45" i="33"/>
  <c r="I45" i="33"/>
  <c r="H45" i="33"/>
  <c r="G45" i="33"/>
  <c r="F45" i="33"/>
  <c r="F46" i="41"/>
  <c r="G46" i="41"/>
  <c r="H46" i="41"/>
  <c r="I46" i="41"/>
  <c r="J46" i="41"/>
  <c r="K46" i="41"/>
  <c r="L46" i="41"/>
  <c r="F47" i="41"/>
  <c r="G47" i="41"/>
  <c r="H47" i="41"/>
  <c r="I47" i="41"/>
  <c r="J47" i="41"/>
  <c r="K47" i="41"/>
  <c r="L47" i="41"/>
  <c r="F48" i="41"/>
  <c r="G48" i="41"/>
  <c r="H48" i="41"/>
  <c r="I48" i="41"/>
  <c r="J48" i="41"/>
  <c r="K48" i="41"/>
  <c r="L48" i="41"/>
  <c r="F49" i="41"/>
  <c r="G49" i="41"/>
  <c r="H49" i="41"/>
  <c r="I49" i="41"/>
  <c r="J49" i="41"/>
  <c r="K49" i="41"/>
  <c r="L49" i="41"/>
  <c r="F50" i="41"/>
  <c r="G50" i="41"/>
  <c r="H50" i="41"/>
  <c r="I50" i="41"/>
  <c r="J50" i="41"/>
  <c r="K50" i="41"/>
  <c r="L50" i="41"/>
  <c r="L45" i="41"/>
  <c r="K45" i="41"/>
  <c r="J45" i="41"/>
  <c r="I45" i="41"/>
  <c r="H45" i="41"/>
  <c r="G45" i="41"/>
  <c r="F45" i="41"/>
  <c r="J58" i="42" l="1"/>
  <c r="J58" i="33"/>
  <c r="J58" i="41"/>
  <c r="G73" i="41"/>
  <c r="G72" i="41"/>
  <c r="G71" i="41"/>
  <c r="G70" i="41"/>
  <c r="G69" i="41"/>
  <c r="J73" i="42"/>
  <c r="J72" i="42"/>
  <c r="J71" i="42"/>
  <c r="J70" i="42"/>
  <c r="J69" i="42"/>
  <c r="G73" i="42"/>
  <c r="G72" i="42"/>
  <c r="G71" i="42"/>
  <c r="G70" i="42"/>
  <c r="G69" i="42"/>
  <c r="J73" i="33"/>
  <c r="J72" i="33"/>
  <c r="J71" i="33"/>
  <c r="J70" i="33"/>
  <c r="J69" i="33"/>
  <c r="G73" i="33"/>
  <c r="G72" i="33"/>
  <c r="G71" i="33"/>
  <c r="G70" i="33"/>
  <c r="G69" i="33"/>
  <c r="N13" i="42"/>
  <c r="N12" i="33"/>
  <c r="K12" i="42"/>
  <c r="K12" i="33"/>
  <c r="K12" i="41"/>
  <c r="C8" i="43" l="1"/>
  <c r="C5" i="43" s="1"/>
  <c r="D11" i="43"/>
  <c r="D8" i="43" s="1"/>
  <c r="D5" i="43" s="1"/>
  <c r="F52" i="42" l="1"/>
  <c r="F39" i="42"/>
  <c r="F37" i="42"/>
  <c r="F38" i="42"/>
  <c r="E56" i="42"/>
  <c r="E52" i="42"/>
  <c r="F52" i="33"/>
  <c r="F39" i="33"/>
  <c r="F37" i="33"/>
  <c r="F38" i="33"/>
  <c r="H39" i="41"/>
  <c r="F39" i="41"/>
  <c r="F14" i="42" l="1"/>
  <c r="I12" i="33"/>
  <c r="F14" i="33"/>
  <c r="F28" i="41" l="1"/>
  <c r="H78" i="33"/>
  <c r="H78" i="42" s="1"/>
  <c r="H54" i="42" s="1"/>
  <c r="I78" i="33"/>
  <c r="I78" i="42" s="1"/>
  <c r="I54" i="42" s="1"/>
  <c r="K78" i="33"/>
  <c r="K78" i="42" s="1"/>
  <c r="K54" i="42" s="1"/>
  <c r="L78" i="33"/>
  <c r="F78" i="33"/>
  <c r="G78" i="41"/>
  <c r="G78" i="33" s="1"/>
  <c r="J78" i="41"/>
  <c r="J78" i="33" s="1"/>
  <c r="F78" i="41"/>
  <c r="F14" i="41"/>
  <c r="J78" i="42" l="1"/>
  <c r="J54" i="42" s="1"/>
  <c r="J54" i="33"/>
  <c r="G78" i="42"/>
  <c r="G54" i="42" s="1"/>
  <c r="G54" i="33"/>
  <c r="F78" i="42"/>
  <c r="F54" i="42" s="1"/>
  <c r="F54" i="33"/>
  <c r="L78" i="42"/>
  <c r="L54" i="42" s="1"/>
  <c r="L54" i="33"/>
  <c r="G74" i="41"/>
  <c r="J74" i="41" s="1"/>
  <c r="J73" i="41"/>
  <c r="J72" i="41"/>
  <c r="J71" i="41"/>
  <c r="J70" i="41"/>
  <c r="J69" i="41"/>
  <c r="G74" i="33"/>
  <c r="J74" i="33" s="1"/>
  <c r="G74" i="42"/>
  <c r="J74" i="42" s="1"/>
  <c r="G106" i="33" l="1"/>
  <c r="G90" i="33"/>
  <c r="G89" i="33"/>
  <c r="G22" i="42"/>
  <c r="G24" i="42"/>
  <c r="G19" i="42"/>
  <c r="G15" i="42"/>
  <c r="F89" i="42"/>
  <c r="F89" i="33"/>
  <c r="G15" i="41"/>
  <c r="O42" i="41" l="1"/>
  <c r="P42" i="41" s="1"/>
  <c r="Q42" i="41" s="1"/>
  <c r="F63" i="42" l="1"/>
  <c r="G66" i="42"/>
  <c r="G65" i="42"/>
  <c r="G38" i="42" s="1"/>
  <c r="G64" i="42"/>
  <c r="G37" i="42" s="1"/>
  <c r="F63" i="33"/>
  <c r="F36" i="33" s="1"/>
  <c r="G66" i="33"/>
  <c r="G65" i="33"/>
  <c r="G38" i="33" s="1"/>
  <c r="G64" i="33"/>
  <c r="G37" i="33" s="1"/>
  <c r="F63" i="41"/>
  <c r="G66" i="41"/>
  <c r="G64" i="41"/>
  <c r="J64" i="41" s="1"/>
  <c r="G65" i="41"/>
  <c r="J65" i="41" s="1"/>
  <c r="G68" i="42"/>
  <c r="G68" i="33"/>
  <c r="G89" i="42"/>
  <c r="J89" i="42" s="1"/>
  <c r="G106" i="42"/>
  <c r="J106" i="42" s="1"/>
  <c r="L106" i="42" s="1"/>
  <c r="G90" i="42"/>
  <c r="J90" i="42" s="1"/>
  <c r="J66" i="42" l="1"/>
  <c r="G39" i="42"/>
  <c r="J66" i="33"/>
  <c r="G39" i="33"/>
  <c r="J66" i="41"/>
  <c r="J39" i="41" s="1"/>
  <c r="G39" i="41"/>
  <c r="L90" i="42"/>
  <c r="L89" i="42"/>
  <c r="G89" i="41"/>
  <c r="G90" i="41"/>
  <c r="J90" i="41" s="1"/>
  <c r="G106" i="41"/>
  <c r="J106" i="41" s="1"/>
  <c r="L66" i="42" l="1"/>
  <c r="L39" i="42" s="1"/>
  <c r="J39" i="42"/>
  <c r="L66" i="33"/>
  <c r="L39" i="33" s="1"/>
  <c r="J39" i="33"/>
  <c r="J63" i="41"/>
  <c r="G63" i="41" s="1"/>
  <c r="J90" i="33"/>
  <c r="L90" i="33" s="1"/>
  <c r="J89" i="33" l="1"/>
  <c r="L89" i="33" s="1"/>
  <c r="L90" i="41" l="1"/>
  <c r="L106" i="41" l="1"/>
  <c r="C20" i="1" l="1"/>
  <c r="F79" i="42"/>
  <c r="F79" i="33"/>
  <c r="F79" i="41"/>
  <c r="G27" i="1" l="1"/>
  <c r="G15" i="1" s="1"/>
  <c r="E27" i="1"/>
  <c r="E15" i="1" s="1"/>
  <c r="C15" i="1" l="1"/>
  <c r="C14" i="1" s="1"/>
  <c r="L61" i="41" s="1"/>
  <c r="L34" i="41" l="1"/>
  <c r="H27" i="1"/>
  <c r="H15" i="1"/>
  <c r="H19" i="1"/>
  <c r="H17" i="1"/>
  <c r="D28" i="1" l="1"/>
  <c r="F28" i="1"/>
  <c r="G81" i="42" l="1"/>
  <c r="J81" i="42" s="1"/>
  <c r="L81" i="42" s="1"/>
  <c r="G80" i="42"/>
  <c r="J80" i="42" s="1"/>
  <c r="L80" i="42" s="1"/>
  <c r="G79" i="42"/>
  <c r="G77" i="42"/>
  <c r="G53" i="42" s="1"/>
  <c r="G76" i="42"/>
  <c r="J76" i="42" s="1"/>
  <c r="G67" i="42"/>
  <c r="J67" i="42" s="1"/>
  <c r="L67" i="42" s="1"/>
  <c r="G62" i="42"/>
  <c r="G13" i="42" s="1"/>
  <c r="G81" i="33"/>
  <c r="J81" i="33" s="1"/>
  <c r="G80" i="33"/>
  <c r="G79" i="33"/>
  <c r="G77" i="33"/>
  <c r="G76" i="33"/>
  <c r="G52" i="33" s="1"/>
  <c r="G67" i="33"/>
  <c r="G62" i="33"/>
  <c r="F35" i="33"/>
  <c r="G81" i="41"/>
  <c r="G80" i="41"/>
  <c r="G79" i="41"/>
  <c r="G77" i="41"/>
  <c r="G76" i="41"/>
  <c r="G68" i="41"/>
  <c r="G67" i="41"/>
  <c r="G62" i="41"/>
  <c r="F40" i="42"/>
  <c r="F55" i="42"/>
  <c r="J68" i="42"/>
  <c r="L68" i="42" s="1"/>
  <c r="J65" i="42"/>
  <c r="J38" i="42" s="1"/>
  <c r="J64" i="42"/>
  <c r="J59" i="42"/>
  <c r="G58" i="42"/>
  <c r="F58" i="42"/>
  <c r="G57" i="42"/>
  <c r="F57" i="42"/>
  <c r="M56" i="42"/>
  <c r="K56" i="42"/>
  <c r="I56" i="42"/>
  <c r="H56" i="42"/>
  <c r="F56" i="42"/>
  <c r="G55" i="42"/>
  <c r="F53" i="42"/>
  <c r="M52" i="42"/>
  <c r="K52" i="42"/>
  <c r="I52" i="42"/>
  <c r="H52" i="42"/>
  <c r="F44" i="42"/>
  <c r="F43" i="42"/>
  <c r="F42" i="42"/>
  <c r="G41" i="42"/>
  <c r="F41" i="42"/>
  <c r="L40" i="42"/>
  <c r="G40" i="42"/>
  <c r="F35" i="42"/>
  <c r="I33" i="42"/>
  <c r="I32" i="42"/>
  <c r="I31" i="42"/>
  <c r="I30" i="42"/>
  <c r="K29" i="42"/>
  <c r="D125" i="42" s="1"/>
  <c r="F28" i="42"/>
  <c r="I27" i="42"/>
  <c r="I24" i="42"/>
  <c r="K24" i="42" s="1"/>
  <c r="F23" i="42"/>
  <c r="I22" i="42"/>
  <c r="K22" i="42" s="1"/>
  <c r="F20" i="42"/>
  <c r="I19" i="42"/>
  <c r="K19" i="42" s="1"/>
  <c r="I15" i="42"/>
  <c r="K15" i="42" s="1"/>
  <c r="F13" i="42"/>
  <c r="F12" i="42" s="1"/>
  <c r="I12" i="42"/>
  <c r="J63" i="42" l="1"/>
  <c r="G63" i="42" s="1"/>
  <c r="G20" i="42" s="1"/>
  <c r="I20" i="42" s="1"/>
  <c r="K20" i="42" s="1"/>
  <c r="J37" i="42"/>
  <c r="J62" i="42"/>
  <c r="L62" i="42" s="1"/>
  <c r="L35" i="42" s="1"/>
  <c r="G12" i="42"/>
  <c r="F84" i="42"/>
  <c r="F36" i="42" s="1"/>
  <c r="J62" i="41"/>
  <c r="L62" i="41" s="1"/>
  <c r="G35" i="41"/>
  <c r="D118" i="42"/>
  <c r="I118" i="42" s="1"/>
  <c r="J77" i="42"/>
  <c r="L77" i="42" s="1"/>
  <c r="L53" i="42" s="1"/>
  <c r="G56" i="42"/>
  <c r="G52" i="42"/>
  <c r="D119" i="42"/>
  <c r="I119" i="42" s="1"/>
  <c r="L43" i="42"/>
  <c r="J43" i="42" s="1"/>
  <c r="G43" i="42" s="1"/>
  <c r="L44" i="42"/>
  <c r="J44" i="42" s="1"/>
  <c r="G44" i="42" s="1"/>
  <c r="L64" i="42"/>
  <c r="L37" i="42" s="1"/>
  <c r="L65" i="42"/>
  <c r="L38" i="42" s="1"/>
  <c r="J79" i="42"/>
  <c r="L79" i="42" s="1"/>
  <c r="D120" i="42" s="1"/>
  <c r="I13" i="42"/>
  <c r="K13" i="42" s="1"/>
  <c r="I14" i="42" s="1"/>
  <c r="G14" i="42" s="1"/>
  <c r="J42" i="42"/>
  <c r="L57" i="42"/>
  <c r="J41" i="42"/>
  <c r="J84" i="42"/>
  <c r="L56" i="42"/>
  <c r="L76" i="42"/>
  <c r="J52" i="42"/>
  <c r="D116" i="42"/>
  <c r="G35" i="42"/>
  <c r="I29" i="42"/>
  <c r="G42" i="42"/>
  <c r="G84" i="42" l="1"/>
  <c r="L63" i="42"/>
  <c r="L55" i="42"/>
  <c r="J55" i="42" s="1"/>
  <c r="J35" i="42"/>
  <c r="D123" i="42"/>
  <c r="J53" i="42"/>
  <c r="I116" i="42"/>
  <c r="L84" i="42"/>
  <c r="L82" i="42" s="1"/>
  <c r="L41" i="42"/>
  <c r="J57" i="42"/>
  <c r="L52" i="42"/>
  <c r="D124" i="42"/>
  <c r="L58" i="42"/>
  <c r="L42" i="42"/>
  <c r="J56" i="42"/>
  <c r="J82" i="42"/>
  <c r="L36" i="42" l="1"/>
  <c r="J36" i="42" l="1"/>
  <c r="G36" i="42" s="1"/>
  <c r="D117" i="42"/>
  <c r="I117" i="42" l="1"/>
  <c r="I126" i="42" s="1"/>
  <c r="J59" i="33" l="1"/>
  <c r="D27" i="1"/>
  <c r="F19" i="1"/>
  <c r="F27" i="1"/>
  <c r="D17" i="1"/>
  <c r="D19" i="1"/>
  <c r="J106" i="33" l="1"/>
  <c r="L106" i="33" s="1"/>
  <c r="F17" i="1"/>
  <c r="D15" i="1"/>
  <c r="F15" i="1" l="1"/>
  <c r="F44" i="33" l="1"/>
  <c r="F43" i="33"/>
  <c r="F42" i="33"/>
  <c r="F41" i="33"/>
  <c r="L40" i="33"/>
  <c r="G40" i="33"/>
  <c r="J64" i="33"/>
  <c r="J37" i="33" s="1"/>
  <c r="J65" i="33"/>
  <c r="G37" i="41"/>
  <c r="F44" i="41"/>
  <c r="F43" i="41"/>
  <c r="F42" i="41"/>
  <c r="L40" i="41"/>
  <c r="G40" i="41"/>
  <c r="F38" i="41"/>
  <c r="F37" i="41"/>
  <c r="F35" i="41"/>
  <c r="L65" i="33" l="1"/>
  <c r="L38" i="33" s="1"/>
  <c r="J38" i="33"/>
  <c r="J63" i="33"/>
  <c r="G63" i="33" s="1"/>
  <c r="L64" i="33"/>
  <c r="L64" i="41"/>
  <c r="L63" i="33" l="1"/>
  <c r="L37" i="33"/>
  <c r="J37" i="41"/>
  <c r="L37" i="41"/>
  <c r="E15" i="40" l="1"/>
  <c r="I15" i="40" s="1"/>
  <c r="G42" i="33"/>
  <c r="G41" i="33"/>
  <c r="F40" i="33" l="1"/>
  <c r="G38" i="41"/>
  <c r="J41" i="33"/>
  <c r="G41" i="41"/>
  <c r="G42" i="41"/>
  <c r="L65" i="41" l="1"/>
  <c r="J38" i="41"/>
  <c r="J42" i="33"/>
  <c r="J42" i="41"/>
  <c r="L42" i="33" l="1"/>
  <c r="L42" i="41"/>
  <c r="L41" i="33"/>
  <c r="L38" i="41"/>
  <c r="I50" i="40"/>
  <c r="I32" i="40"/>
  <c r="I49" i="40"/>
  <c r="I48" i="40"/>
  <c r="I47" i="40"/>
  <c r="I46" i="40"/>
  <c r="I45" i="40"/>
  <c r="I44" i="40"/>
  <c r="I43" i="40"/>
  <c r="I42" i="40"/>
  <c r="I41" i="40"/>
  <c r="I40" i="40"/>
  <c r="L82" i="33" l="1"/>
  <c r="E20" i="1" s="1"/>
  <c r="G20" i="1"/>
  <c r="I51" i="40"/>
  <c r="H20" i="1" l="1"/>
  <c r="G18" i="1"/>
  <c r="E18" i="1"/>
  <c r="I33" i="40"/>
  <c r="I25" i="40"/>
  <c r="I26" i="40"/>
  <c r="I27" i="40"/>
  <c r="I28" i="40"/>
  <c r="I29" i="40"/>
  <c r="I30" i="40"/>
  <c r="I31" i="40"/>
  <c r="I24" i="40"/>
  <c r="I23" i="40"/>
  <c r="E56" i="33"/>
  <c r="E52" i="33"/>
  <c r="F58" i="33"/>
  <c r="F57" i="33"/>
  <c r="F56" i="33"/>
  <c r="F53" i="33"/>
  <c r="H18" i="1" l="1"/>
  <c r="F16" i="1"/>
  <c r="E14" i="1"/>
  <c r="L61" i="33" s="1"/>
  <c r="I34" i="40"/>
  <c r="C18" i="1"/>
  <c r="D20" i="1"/>
  <c r="I27" i="41"/>
  <c r="J81" i="41"/>
  <c r="J80" i="41"/>
  <c r="J79" i="41"/>
  <c r="F55" i="41"/>
  <c r="J77" i="41"/>
  <c r="J76" i="41"/>
  <c r="L76" i="41" s="1"/>
  <c r="G24" i="41"/>
  <c r="I24" i="41" s="1"/>
  <c r="K24" i="41" s="1"/>
  <c r="G22" i="41"/>
  <c r="I22" i="41" s="1"/>
  <c r="K22" i="41" s="1"/>
  <c r="G19" i="41"/>
  <c r="I19" i="41" s="1"/>
  <c r="K19" i="41" s="1"/>
  <c r="J68" i="41"/>
  <c r="L68" i="41" s="1"/>
  <c r="J67" i="41"/>
  <c r="L67" i="41" s="1"/>
  <c r="G58" i="41"/>
  <c r="F58" i="41"/>
  <c r="G57" i="41"/>
  <c r="F57" i="41"/>
  <c r="M56" i="41"/>
  <c r="K56" i="41"/>
  <c r="I56" i="41"/>
  <c r="H56" i="41"/>
  <c r="G56" i="41"/>
  <c r="F56" i="41"/>
  <c r="E56" i="41"/>
  <c r="F53" i="41"/>
  <c r="M52" i="41"/>
  <c r="K52" i="41"/>
  <c r="I52" i="41"/>
  <c r="H52" i="41"/>
  <c r="F52" i="41"/>
  <c r="E52" i="41"/>
  <c r="I33" i="41"/>
  <c r="I32" i="41"/>
  <c r="I31" i="41"/>
  <c r="I30" i="41"/>
  <c r="K29" i="41"/>
  <c r="I29" i="41" s="1"/>
  <c r="F23" i="41"/>
  <c r="F20" i="41"/>
  <c r="I17" i="41"/>
  <c r="K17" i="41" s="1"/>
  <c r="I16" i="41"/>
  <c r="K16" i="41" s="1"/>
  <c r="F15" i="41"/>
  <c r="I15" i="41" s="1"/>
  <c r="K15" i="41" s="1"/>
  <c r="F13" i="41"/>
  <c r="F12" i="41" s="1"/>
  <c r="I12" i="41"/>
  <c r="G12" i="41" s="1"/>
  <c r="E16" i="40"/>
  <c r="C13" i="1" l="1"/>
  <c r="G14" i="1"/>
  <c r="L61" i="42" s="1"/>
  <c r="H16" i="1"/>
  <c r="F14" i="1"/>
  <c r="D119" i="41"/>
  <c r="I119" i="41" s="1"/>
  <c r="L43" i="41"/>
  <c r="L44" i="41"/>
  <c r="I28" i="41"/>
  <c r="G28" i="41" s="1"/>
  <c r="K28" i="42"/>
  <c r="D18" i="1"/>
  <c r="L77" i="41"/>
  <c r="L80" i="41"/>
  <c r="L81" i="41"/>
  <c r="G52" i="41"/>
  <c r="L79" i="41"/>
  <c r="F54" i="41"/>
  <c r="K28" i="33"/>
  <c r="G13" i="41"/>
  <c r="I13" i="41" s="1"/>
  <c r="K13" i="41" s="1"/>
  <c r="I14" i="41" s="1"/>
  <c r="G14" i="41" s="1"/>
  <c r="K11" i="41"/>
  <c r="L52" i="41"/>
  <c r="J52" i="41"/>
  <c r="D120" i="41"/>
  <c r="J16" i="40"/>
  <c r="J17" i="40" s="1"/>
  <c r="K108" i="41" l="1"/>
  <c r="H14" i="1"/>
  <c r="G13" i="1"/>
  <c r="J44" i="41"/>
  <c r="G44" i="41" s="1"/>
  <c r="L53" i="41"/>
  <c r="D121" i="41"/>
  <c r="L56" i="41"/>
  <c r="L57" i="41"/>
  <c r="J43" i="41"/>
  <c r="G43" i="41" s="1"/>
  <c r="D122" i="42"/>
  <c r="K11" i="42"/>
  <c r="N14" i="42" s="1"/>
  <c r="I28" i="42"/>
  <c r="G28" i="42" s="1"/>
  <c r="L55" i="41"/>
  <c r="I120" i="41"/>
  <c r="D125" i="41"/>
  <c r="L58" i="41"/>
  <c r="I11" i="41"/>
  <c r="K108" i="42" l="1"/>
  <c r="G12" i="1" s="1"/>
  <c r="H12" i="1" s="1"/>
  <c r="I108" i="42" s="1"/>
  <c r="H13" i="1"/>
  <c r="J53" i="41"/>
  <c r="G53" i="41" s="1"/>
  <c r="D124" i="41"/>
  <c r="D117" i="41"/>
  <c r="I117" i="41" s="1"/>
  <c r="J55" i="41"/>
  <c r="G55" i="41" s="1"/>
  <c r="J56" i="41"/>
  <c r="J57" i="41"/>
  <c r="L35" i="41"/>
  <c r="I11" i="42"/>
  <c r="C12" i="1"/>
  <c r="D12" i="1" s="1"/>
  <c r="I108" i="41" s="1"/>
  <c r="G11" i="1" l="1"/>
  <c r="H11" i="1"/>
  <c r="J35" i="41"/>
  <c r="H16" i="40" l="1"/>
  <c r="H14" i="40"/>
  <c r="H13" i="40"/>
  <c r="H12" i="40"/>
  <c r="H11" i="40"/>
  <c r="H10" i="40"/>
  <c r="H9" i="40"/>
  <c r="H8" i="40"/>
  <c r="H7" i="40"/>
  <c r="H6" i="40"/>
  <c r="I14" i="40" l="1"/>
  <c r="I13" i="40"/>
  <c r="I12" i="40"/>
  <c r="I11" i="40"/>
  <c r="I10" i="40"/>
  <c r="I9" i="40"/>
  <c r="I8" i="40"/>
  <c r="I7" i="40"/>
  <c r="E6" i="40"/>
  <c r="I6" i="40" s="1"/>
  <c r="H60" i="40"/>
  <c r="H65" i="40" s="1"/>
  <c r="G60" i="40"/>
  <c r="H59" i="40"/>
  <c r="G59" i="40"/>
  <c r="H58" i="40"/>
  <c r="G58" i="40"/>
  <c r="H50" i="40"/>
  <c r="H48" i="40"/>
  <c r="H47" i="40"/>
  <c r="H46" i="40"/>
  <c r="H45" i="40"/>
  <c r="H44" i="40"/>
  <c r="H43" i="40"/>
  <c r="H42" i="40"/>
  <c r="H41" i="40"/>
  <c r="H40" i="40"/>
  <c r="H33" i="40"/>
  <c r="H31" i="40"/>
  <c r="H30" i="40"/>
  <c r="H29" i="40"/>
  <c r="H28" i="40"/>
  <c r="H27" i="40"/>
  <c r="H26" i="40"/>
  <c r="H25" i="40"/>
  <c r="H24" i="40"/>
  <c r="H23" i="40"/>
  <c r="H64" i="40" l="1"/>
  <c r="I59" i="40"/>
  <c r="I17" i="40"/>
  <c r="H63" i="40" s="1"/>
  <c r="H17" i="40"/>
  <c r="G63" i="40" s="1"/>
  <c r="H34" i="40"/>
  <c r="G64" i="40" s="1"/>
  <c r="H51" i="40"/>
  <c r="G65" i="40" s="1"/>
  <c r="F55" i="33" l="1"/>
  <c r="G57" i="33" l="1"/>
  <c r="G55" i="33"/>
  <c r="G53" i="33"/>
  <c r="G35" i="33"/>
  <c r="M56" i="33"/>
  <c r="K56" i="33"/>
  <c r="I56" i="33"/>
  <c r="H56" i="33"/>
  <c r="M52" i="33"/>
  <c r="K52" i="33"/>
  <c r="I52" i="33"/>
  <c r="H52" i="33"/>
  <c r="J80" i="33" l="1"/>
  <c r="G56" i="33"/>
  <c r="L80" i="33" l="1"/>
  <c r="L56" i="33" l="1"/>
  <c r="I28" i="33"/>
  <c r="F28" i="33"/>
  <c r="J56" i="33" l="1"/>
  <c r="G28" i="33"/>
  <c r="K29" i="33"/>
  <c r="J76" i="33"/>
  <c r="L76" i="33" s="1"/>
  <c r="L81" i="33" l="1"/>
  <c r="J52" i="33"/>
  <c r="G58" i="33"/>
  <c r="J79" i="33"/>
  <c r="L79" i="33" s="1"/>
  <c r="J68" i="33"/>
  <c r="L68" i="33" s="1"/>
  <c r="J67" i="33"/>
  <c r="L67" i="33" s="1"/>
  <c r="J62" i="33"/>
  <c r="L62" i="33" s="1"/>
  <c r="I33" i="33"/>
  <c r="I32" i="33"/>
  <c r="I31" i="33"/>
  <c r="I30" i="33"/>
  <c r="I29" i="33"/>
  <c r="G24" i="33"/>
  <c r="F23" i="33"/>
  <c r="G22" i="33"/>
  <c r="F20" i="33"/>
  <c r="G19" i="33"/>
  <c r="G15" i="33"/>
  <c r="I15" i="33" s="1"/>
  <c r="K15" i="33" s="1"/>
  <c r="F13" i="33"/>
  <c r="F12" i="33" s="1"/>
  <c r="G12" i="33" s="1"/>
  <c r="G13" i="33"/>
  <c r="G20" i="33"/>
  <c r="L75" i="33" l="1"/>
  <c r="L44" i="33"/>
  <c r="L43" i="33"/>
  <c r="L36" i="33"/>
  <c r="L57" i="33"/>
  <c r="L35" i="33"/>
  <c r="L52" i="33"/>
  <c r="J82" i="33"/>
  <c r="L55" i="33"/>
  <c r="J77" i="33"/>
  <c r="I13" i="33"/>
  <c r="K13" i="33" s="1"/>
  <c r="I14" i="33" s="1"/>
  <c r="G14" i="33" s="1"/>
  <c r="I20" i="33"/>
  <c r="K20" i="33" s="1"/>
  <c r="I24" i="33"/>
  <c r="K24" i="33" s="1"/>
  <c r="D121" i="33" s="1"/>
  <c r="D120" i="33"/>
  <c r="I19" i="33"/>
  <c r="K19" i="33" s="1"/>
  <c r="D119" i="33" s="1"/>
  <c r="I22" i="33"/>
  <c r="K22" i="33" s="1"/>
  <c r="G75" i="33" l="1"/>
  <c r="L51" i="33"/>
  <c r="D118" i="33"/>
  <c r="I118" i="33" s="1"/>
  <c r="J55" i="33"/>
  <c r="J57" i="33"/>
  <c r="J43" i="33"/>
  <c r="G43" i="33" s="1"/>
  <c r="J35" i="33"/>
  <c r="J36" i="33"/>
  <c r="G36" i="33" s="1"/>
  <c r="J44" i="33"/>
  <c r="G44" i="33" s="1"/>
  <c r="L77" i="33"/>
  <c r="K11" i="33"/>
  <c r="N14" i="33" s="1"/>
  <c r="I120" i="33"/>
  <c r="I119" i="33"/>
  <c r="K108" i="33" l="1"/>
  <c r="E12" i="1" s="1"/>
  <c r="F12" i="1" s="1"/>
  <c r="I108" i="33" s="1"/>
  <c r="L53" i="33"/>
  <c r="L58" i="33"/>
  <c r="D125" i="33"/>
  <c r="I27" i="33"/>
  <c r="D117" i="33"/>
  <c r="I117" i="33" s="1"/>
  <c r="I127" i="33" s="1"/>
  <c r="J53" i="33" l="1"/>
  <c r="D124" i="33"/>
  <c r="F20" i="1"/>
  <c r="D126" i="33"/>
  <c r="L75" i="42" l="1"/>
  <c r="G75" i="42" s="1"/>
  <c r="J61" i="42"/>
  <c r="L34" i="42"/>
  <c r="F18" i="1"/>
  <c r="E13" i="1"/>
  <c r="J75" i="42" l="1"/>
  <c r="J75" i="33"/>
  <c r="J51" i="33" s="1"/>
  <c r="G51" i="42"/>
  <c r="G23" i="42"/>
  <c r="I23" i="42" s="1"/>
  <c r="K23" i="42" s="1"/>
  <c r="G51" i="33"/>
  <c r="L108" i="42"/>
  <c r="J34" i="42"/>
  <c r="J108" i="42" s="1"/>
  <c r="L51" i="42"/>
  <c r="F13" i="1"/>
  <c r="F51" i="42" l="1"/>
  <c r="M11" i="42"/>
  <c r="M29" i="42"/>
  <c r="J51" i="42"/>
  <c r="D121" i="42"/>
  <c r="G23" i="33"/>
  <c r="I23" i="33" s="1"/>
  <c r="K23" i="33" s="1"/>
  <c r="D126" i="42" l="1"/>
  <c r="G121" i="42" s="1"/>
  <c r="I11" i="33"/>
  <c r="G125" i="42" l="1"/>
  <c r="G119" i="42"/>
  <c r="G122" i="42"/>
  <c r="G116" i="42"/>
  <c r="G124" i="42"/>
  <c r="G120" i="42"/>
  <c r="G117" i="42"/>
  <c r="G123" i="42"/>
  <c r="G118" i="42"/>
  <c r="J126" i="42"/>
  <c r="L109" i="33"/>
  <c r="I60" i="40"/>
  <c r="G126" i="42" l="1"/>
  <c r="F11" i="1" l="1"/>
  <c r="E11" i="1"/>
  <c r="I58" i="40" l="1"/>
  <c r="L54" i="41" l="1"/>
  <c r="D123" i="33"/>
  <c r="D123" i="41" l="1"/>
  <c r="J54" i="41"/>
  <c r="G54" i="41" s="1"/>
  <c r="J59" i="41" l="1"/>
  <c r="D126" i="41"/>
  <c r="D16" i="1" l="1"/>
  <c r="D14" i="1" l="1"/>
  <c r="J61" i="33" l="1"/>
  <c r="L34" i="33"/>
  <c r="C11" i="1"/>
  <c r="D13" i="1"/>
  <c r="D11" i="1" s="1"/>
  <c r="J61" i="41"/>
  <c r="J34" i="33" l="1"/>
  <c r="J108" i="33" s="1"/>
  <c r="L108" i="33"/>
  <c r="L108" i="41"/>
  <c r="J34" i="41"/>
  <c r="J108" i="41" s="1"/>
  <c r="M34" i="41" l="1"/>
  <c r="L118" i="33"/>
  <c r="M11" i="33"/>
  <c r="M29" i="33"/>
  <c r="M82" i="41"/>
  <c r="M11" i="41"/>
  <c r="M29" i="41"/>
  <c r="M61" i="41"/>
  <c r="D122" i="33" l="1"/>
  <c r="D127" i="33" s="1"/>
  <c r="G122" i="33" s="1"/>
  <c r="F51" i="33"/>
  <c r="G118" i="33" l="1"/>
  <c r="G123" i="33"/>
  <c r="G126" i="33"/>
  <c r="G119" i="33"/>
  <c r="G121" i="33"/>
  <c r="G120" i="33"/>
  <c r="G125" i="33"/>
  <c r="G124" i="33"/>
  <c r="J127" i="33"/>
  <c r="G117" i="33"/>
  <c r="G127" i="33" l="1"/>
  <c r="L66" i="41" l="1"/>
  <c r="L63" i="41" l="1"/>
  <c r="L75" i="41" s="1"/>
  <c r="G75" i="41" s="1"/>
  <c r="G23" i="41" s="1"/>
  <c r="I23" i="41" s="1"/>
  <c r="K23" i="41" s="1"/>
  <c r="L39" i="41"/>
  <c r="L51" i="41" l="1"/>
  <c r="J75" i="41"/>
  <c r="F51" i="41"/>
  <c r="J51" i="41"/>
  <c r="D122" i="41"/>
  <c r="G51" i="41" l="1"/>
  <c r="G20" i="41" l="1"/>
  <c r="I20" i="41" s="1"/>
  <c r="K20" i="41" s="1"/>
  <c r="F40" i="41"/>
  <c r="F84" i="41"/>
  <c r="F36" i="41" s="1"/>
  <c r="F89" i="41"/>
  <c r="F41" i="41" s="1"/>
  <c r="J89" i="41" l="1"/>
  <c r="J84" i="41" l="1"/>
  <c r="J41" i="41"/>
  <c r="L89" i="41"/>
  <c r="L41" i="41" l="1"/>
  <c r="L84" i="41"/>
  <c r="L36" i="41" s="1"/>
  <c r="J82" i="41"/>
  <c r="G84" i="41"/>
  <c r="D118" i="41" l="1"/>
  <c r="J36" i="41"/>
  <c r="G36" i="41" s="1"/>
  <c r="D127" i="41" l="1"/>
  <c r="G118" i="41" s="1"/>
  <c r="I118" i="41"/>
  <c r="I127" i="41" s="1"/>
  <c r="J127" i="41" l="1"/>
  <c r="G120" i="41"/>
  <c r="G122" i="41"/>
  <c r="G125" i="41"/>
  <c r="G124" i="41"/>
  <c r="G121" i="41"/>
  <c r="G117" i="41"/>
  <c r="G123" i="41"/>
  <c r="G126" i="41"/>
  <c r="G119" i="41"/>
  <c r="G127" i="41" l="1"/>
</calcChain>
</file>

<file path=xl/sharedStrings.xml><?xml version="1.0" encoding="utf-8"?>
<sst xmlns="http://schemas.openxmlformats.org/spreadsheetml/2006/main" count="1875" uniqueCount="307">
  <si>
    <t xml:space="preserve">по условиям ее оказания в Республике Саха (Якутия) на 2020  год </t>
  </si>
  <si>
    <t>2020 год</t>
  </si>
  <si>
    <t>государственных гарантий бесплатного оказания гражданам медицинской помощи в Республике Саха (Якутия)</t>
  </si>
  <si>
    <t>Источники финансового обеспечения территориальной программы государственных гарантий бесплатного оказания гражданам медицинской помощи</t>
  </si>
  <si>
    <t>2019 год</t>
  </si>
  <si>
    <t>всего (тыс. руб.)</t>
  </si>
  <si>
    <t>на 1 жителя 
(1 застрахованное лицо) в год (руб.)</t>
  </si>
  <si>
    <t>01</t>
  </si>
  <si>
    <t>I. Средства консолидированного бюджета субъекта Российской Федерации *</t>
  </si>
  <si>
    <t>02</t>
  </si>
  <si>
    <t>03</t>
  </si>
  <si>
    <t>04</t>
  </si>
  <si>
    <t>1.1. субвенции из бюджета ФОМС **</t>
  </si>
  <si>
    <t>05</t>
  </si>
  <si>
    <t>06</t>
  </si>
  <si>
    <t>07</t>
  </si>
  <si>
    <t>08</t>
  </si>
  <si>
    <t>1.3. прочие поступления</t>
  </si>
  <si>
    <t>09</t>
  </si>
  <si>
    <t>10</t>
  </si>
  <si>
    <t>Справочно</t>
  </si>
  <si>
    <t>Расходы на обеспечение выполнения ТФОМС своих функций</t>
  </si>
  <si>
    <t>Стоимость территориальной программы государственных гарантий</t>
  </si>
  <si>
    <t xml:space="preserve">бесплатного оказания гражданам  медицинской помощи и объемы медицинской помощи </t>
  </si>
  <si>
    <t>№ строки</t>
  </si>
  <si>
    <t>Единица измерения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</si>
  <si>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</si>
  <si>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</si>
  <si>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РК</t>
  </si>
  <si>
    <t>Подушевые нормативы финансирования территориальной программы</t>
  </si>
  <si>
    <t>Стоимость территориальной программы по источникам ее финансового обеспечения</t>
  </si>
  <si>
    <t>руб.</t>
  </si>
  <si>
    <t>тыс. руб.</t>
  </si>
  <si>
    <t>в %
к итогу</t>
  </si>
  <si>
    <t>за счет средств консолидиро-ванного бюджета субъекта РФ</t>
  </si>
  <si>
    <t>за счет средств ОМС</t>
  </si>
  <si>
    <t>средства ОМС</t>
  </si>
  <si>
    <r>
      <t xml:space="preserve">I. Медицинская помощь, предоставляемая за счет консолидированного бюджета субъекта Российской Федерации
</t>
    </r>
    <r>
      <rPr>
        <sz val="10"/>
        <rFont val="Times New Roman"/>
        <family val="1"/>
        <charset val="204"/>
      </rPr>
      <t>в том числе *:</t>
    </r>
  </si>
  <si>
    <t>Х</t>
  </si>
  <si>
    <t>Жителей</t>
  </si>
  <si>
    <t>1. скорая, в том числе скорая специализированная медицинская помощь, не включенная с территориальную программу ОМС, в том числе</t>
  </si>
  <si>
    <t>вызов</t>
  </si>
  <si>
    <t>не идентифицированным и не застрахованным в системе ОМС лицам</t>
  </si>
  <si>
    <t>2. медицинская помощь в амбулаторных условиях, в том числе</t>
  </si>
  <si>
    <t xml:space="preserve">посещение с профилактическими и иными целями </t>
  </si>
  <si>
    <t>обращение</t>
  </si>
  <si>
    <t>3. специализированная медицинская помощь в стационарных условиях, в том числе</t>
  </si>
  <si>
    <t>случай госпитализации</t>
  </si>
  <si>
    <t>4. медицинская помощь в условиях дневного стационара, в том числе</t>
  </si>
  <si>
    <t>случай лечения</t>
  </si>
  <si>
    <t>11</t>
  </si>
  <si>
    <t>12</t>
  </si>
  <si>
    <t>койко-день</t>
  </si>
  <si>
    <t xml:space="preserve">6. иные государственные и муниципальные услуги (работы) </t>
  </si>
  <si>
    <t>13</t>
  </si>
  <si>
    <t>-</t>
  </si>
  <si>
    <t>7.  высокотехнологичная медицинская помощь, оказываемая в медицинских организациях субъекта РФ</t>
  </si>
  <si>
    <t>14</t>
  </si>
  <si>
    <r>
      <t xml:space="preserve">II. Средства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ОМС**, </t>
    </r>
    <r>
      <rPr>
        <sz val="10"/>
        <rFont val="Times New Roman"/>
        <family val="1"/>
        <charset val="204"/>
      </rPr>
      <t>в том числе на приобретение:</t>
    </r>
  </si>
  <si>
    <t>15</t>
  </si>
  <si>
    <t>- санитарного транспорта</t>
  </si>
  <si>
    <t>16</t>
  </si>
  <si>
    <t>- КТ</t>
  </si>
  <si>
    <t>17</t>
  </si>
  <si>
    <t>- МРТ</t>
  </si>
  <si>
    <t>18</t>
  </si>
  <si>
    <t>-  иного медицинского оборудования</t>
  </si>
  <si>
    <t>19</t>
  </si>
  <si>
    <t>III. Медицинская помощь в рамках территориальной программы ОМС:</t>
  </si>
  <si>
    <t>20</t>
  </si>
  <si>
    <t>21</t>
  </si>
  <si>
    <t>сумма строк</t>
  </si>
  <si>
    <t>22.1</t>
  </si>
  <si>
    <t>посещение  с профилактической и иными целями</t>
  </si>
  <si>
    <t>22.2</t>
  </si>
  <si>
    <t>посещение по неотложной медицинской помощи</t>
  </si>
  <si>
    <t>22.3</t>
  </si>
  <si>
    <t>23</t>
  </si>
  <si>
    <t>23.1</t>
  </si>
  <si>
    <t>23.2</t>
  </si>
  <si>
    <t>24</t>
  </si>
  <si>
    <t>25</t>
  </si>
  <si>
    <t>26</t>
  </si>
  <si>
    <t>из строки 20:
1. Медицинская помощь, предоставляемая в рамках базовой программы ОМС застрахованным лицам</t>
  </si>
  <si>
    <t>27</t>
  </si>
  <si>
    <t>- скорая медицинская помощь</t>
  </si>
  <si>
    <t>28</t>
  </si>
  <si>
    <t>- в амбулаторных условиях</t>
  </si>
  <si>
    <t>30.1</t>
  </si>
  <si>
    <t>30.2</t>
  </si>
  <si>
    <t>31</t>
  </si>
  <si>
    <t>2. Медицинская помощь по видам и заболеваниям сверх базовой программы ОМС:</t>
  </si>
  <si>
    <t>32</t>
  </si>
  <si>
    <t>33</t>
  </si>
  <si>
    <t>35.1</t>
  </si>
  <si>
    <t>35.2</t>
  </si>
  <si>
    <t>36</t>
  </si>
  <si>
    <t>37</t>
  </si>
  <si>
    <t>ИТОГО (сумма строк 01 + 15 + 20)</t>
  </si>
  <si>
    <t>38</t>
  </si>
  <si>
    <t>__________________________________</t>
  </si>
  <si>
    <t>Виды мед помощи</t>
  </si>
  <si>
    <t>Сумма, тыс.рублей</t>
  </si>
  <si>
    <t>Доли расходов</t>
  </si>
  <si>
    <t>Первичная медико-санитарная помощь</t>
  </si>
  <si>
    <t>Скорая мед помощь</t>
  </si>
  <si>
    <t>АПП с проф целью</t>
  </si>
  <si>
    <t>АПП по поводу заболеваний</t>
  </si>
  <si>
    <t>АПП в неотложной форме</t>
  </si>
  <si>
    <t>Стационаро-замещающая помощь</t>
  </si>
  <si>
    <t>Стационарная мед. Помощь в том числе</t>
  </si>
  <si>
    <t xml:space="preserve"> ВМП</t>
  </si>
  <si>
    <t xml:space="preserve"> реабилитация</t>
  </si>
  <si>
    <t>Паллиативная мед помощь</t>
  </si>
  <si>
    <t>Иные расходы</t>
  </si>
  <si>
    <t>Итого</t>
  </si>
  <si>
    <t>- в амбу-латорных условиях</t>
  </si>
  <si>
    <t xml:space="preserve">по условиям ее оказания в Республике Саха (Якутия) на 2021 год </t>
  </si>
  <si>
    <t>2021 год</t>
  </si>
  <si>
    <t>31.1</t>
  </si>
  <si>
    <t>24.1</t>
  </si>
  <si>
    <t>24.2</t>
  </si>
  <si>
    <t xml:space="preserve">медицинская помощь по профилю "онкология" </t>
  </si>
  <si>
    <t>медицинская помощь при экстракорпоральном оплодотворении</t>
  </si>
  <si>
    <t>медицинская реабилитация в стационарных условиях</t>
  </si>
  <si>
    <t>30.1.1</t>
  </si>
  <si>
    <t>высокотехнологичная медицинская помощь</t>
  </si>
  <si>
    <t>31.2</t>
  </si>
  <si>
    <t>22.1.1</t>
  </si>
  <si>
    <t>35.1.1</t>
  </si>
  <si>
    <t>36.1</t>
  </si>
  <si>
    <t>36.2</t>
  </si>
  <si>
    <t>медицинская помощь по профилю "онкология" (сумма строк 31.1+36.1)</t>
  </si>
  <si>
    <t>На софинансирование расходов медицинских организаций государственной системы здравоохранения и муниципальной сиситемы здравоохранения,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</si>
  <si>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в дополнение к установленной базовой программой ОМС, из них:</t>
  </si>
  <si>
    <t xml:space="preserve">2.1.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 </t>
  </si>
  <si>
    <t>на 1 застрахованное лицо (руб.)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</si>
  <si>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+ 07)                                             
в том числе:</t>
  </si>
  <si>
    <t>23.3</t>
  </si>
  <si>
    <t>медицинская реабилитация в стационарных условиях (сумма строк 31.2+36.2)</t>
  </si>
  <si>
    <t>высокотехнологичная медицинская помощь (сумма строк 31.3+36.3)</t>
  </si>
  <si>
    <t>медицинская помощь по профилю "онкология" (сумма строк 32.1+37.1)</t>
  </si>
  <si>
    <t>медицинская помощь при экстракорпоральном оплодотворении (сумма строк 32.2+37.2)</t>
  </si>
  <si>
    <t>- паллиативная медицинская помощь*** (равно строке 38)</t>
  </si>
  <si>
    <t>- затраты на ведение дела СМО</t>
  </si>
  <si>
    <t>- иные расходы (равно строке 39)</t>
  </si>
  <si>
    <t>29</t>
  </si>
  <si>
    <t>30.3</t>
  </si>
  <si>
    <t>32.1</t>
  </si>
  <si>
    <t>32.2</t>
  </si>
  <si>
    <t>34</t>
  </si>
  <si>
    <t>35.3</t>
  </si>
  <si>
    <t>37.1</t>
  </si>
  <si>
    <t>37.2</t>
  </si>
  <si>
    <t>39</t>
  </si>
  <si>
    <t>- иные расходы</t>
  </si>
  <si>
    <t>40</t>
  </si>
  <si>
    <t>- специализированная медицинская помощь в стационарных условиях, в том числе:</t>
  </si>
  <si>
    <t>- специализированная медицинская помощь в стационарных условиях сумма (строк 31+36), в том числе:</t>
  </si>
  <si>
    <t>36.3</t>
  </si>
  <si>
    <t>* Без учета финансовых средств консолидированного бюджета субъекта Российской Федерации на приобретение оборудования для медицинских организаций, работающих в системе ОМС (затраты, не вошедшие в тариф).</t>
  </si>
  <si>
    <t xml:space="preserve"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тарифа на оплату медицинской помощи в рамках базовой программы обязательного медицинского страхования </t>
  </si>
  <si>
    <r>
      <t xml:space="preserve">**  указываются расходы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ОМС, сверх </t>
    </r>
    <r>
      <rPr>
        <b/>
        <sz val="10"/>
        <color indexed="1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территориальной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программы ОМС.</t>
    </r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</si>
  <si>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РФ.</t>
  </si>
  <si>
    <t>04.1</t>
  </si>
  <si>
    <t>в том числе посещение по паллиативной медицинской помощи</t>
  </si>
  <si>
    <t>04.1.1</t>
  </si>
  <si>
    <t>5. паллиативная медицинская помощь в стационарных условиях</t>
  </si>
  <si>
    <t>30.1+35.1</t>
  </si>
  <si>
    <t>30.1.1+35.1.1</t>
  </si>
  <si>
    <t>35.1.2</t>
  </si>
  <si>
    <t>22.1.2</t>
  </si>
  <si>
    <t>в том числе посещение по паллиативной медицинской помощи***</t>
  </si>
  <si>
    <t>включая посещение на дому выездными патронажными бригадами паллиативной медицинской помощи***</t>
  </si>
  <si>
    <t>30.2+35.2</t>
  </si>
  <si>
    <t>30.3+35.3</t>
  </si>
  <si>
    <t>- медицинская помощь в условиях дневного стационара (сумма строк 32+37), в том числе</t>
  </si>
  <si>
    <t>случай</t>
  </si>
  <si>
    <t>31.3</t>
  </si>
  <si>
    <t>- медицинская помощь в условиях дневного стационара</t>
  </si>
  <si>
    <t xml:space="preserve">случай </t>
  </si>
  <si>
    <t>- паллиативная медицинская помощь в стационарных условиях***</t>
  </si>
  <si>
    <t>Потребность в финансовых средствах Программы государственных гарантий оказания бесплатной медицинской помощи населению на 2019 год</t>
  </si>
  <si>
    <t>Стоимость ТПГГ РС(Я) на 2019 год без иных государственных и муниципальных (услуг)</t>
  </si>
  <si>
    <t>Объемы медицинской помощи</t>
  </si>
  <si>
    <t xml:space="preserve">Средние нормативы финансовых затрат на единицу объема медицинской помощи </t>
  </si>
  <si>
    <t>Финансовая потребность с районным коэффициентом , рублей</t>
  </si>
  <si>
    <t>ОМС</t>
  </si>
  <si>
    <t>БЮДЖЕТ</t>
  </si>
  <si>
    <t>Бюджет</t>
  </si>
  <si>
    <t>для скорой медицинской помощи вне медицинской организации, включая медицинскую эвакуацию</t>
  </si>
  <si>
    <t xml:space="preserve">для медицинской помощи в амбулаторных условиях, оказываемой с профилактическими и иными целями </t>
  </si>
  <si>
    <t>для медицинской помощи в амбулаторных условиях, оказываемой в связи с заболеваниями</t>
  </si>
  <si>
    <t xml:space="preserve">для медицинской помощи в амбулаторных условиях, оказываемой в неотложной форме, в рамках базовой программы обязательного медицинского страхования
</t>
  </si>
  <si>
    <t xml:space="preserve">для медицинской помощи в условиях дневных стационаров </t>
  </si>
  <si>
    <t xml:space="preserve">для специализированной медицинской помощи в стационарных условиях </t>
  </si>
  <si>
    <t xml:space="preserve">в том числе для медицинской реабилитации </t>
  </si>
  <si>
    <t>в том числе для медицинской реабилитации (дети от 0-17 лет)</t>
  </si>
  <si>
    <t xml:space="preserve">для паллиативной медицинской помощи в стационарных условиях </t>
  </si>
  <si>
    <t xml:space="preserve">Объем высокотехнологичной медицинской помощи в целом по Программе </t>
  </si>
  <si>
    <t>Итого на государственное задание по проекту программы государственных гарантий оказания бесплатной медицинской помощи</t>
  </si>
  <si>
    <t>Финансовая потребность с районным коэффициентом 2,5710 рублей</t>
  </si>
  <si>
    <t>Потребность в финансовых средствах Программы государственных гарантий оказания бесплатной медицинской помощи населению на 2020 год</t>
  </si>
  <si>
    <t>Средние подушевые нормативы финансирования и расчетная стоимость ТПГГ РС(Я) (без учета расходов федерального бюджета)</t>
  </si>
  <si>
    <t>Средние подушевые нормативы финансирования</t>
  </si>
  <si>
    <t>Индекс</t>
  </si>
  <si>
    <t>Кол-во людей</t>
  </si>
  <si>
    <t>Сумма, в руб</t>
  </si>
  <si>
    <t>За 2019 год</t>
  </si>
  <si>
    <t>За 2020 год</t>
  </si>
  <si>
    <t>За 2021 год</t>
  </si>
  <si>
    <t>иные государственные и муниципальные услуги (работы)</t>
  </si>
  <si>
    <t>Потребность в финансовых средствах Программы государственных гарантий оказания бесплатной медицинской помощи населению на 2021 год</t>
  </si>
  <si>
    <t>- скорая медицинская помощь (сумма строк 29+34)</t>
  </si>
  <si>
    <t xml:space="preserve">для паллиативной медицинской помощи в амбулаторных условиях </t>
  </si>
  <si>
    <t>Финансовая потребность с районным коэффициентом 3,393 рублей</t>
  </si>
  <si>
    <t>04.1.2</t>
  </si>
  <si>
    <t>включая посещение по паллиативной медицинской помощи без учета посещения на дому патронажными бригадами паллиативной медицинской помощи</t>
  </si>
  <si>
    <t>включая  посещение на дому выездными патронажными бригадами паллиативной медицинской помощи</t>
  </si>
  <si>
    <t>включая посещение по паллиативной медицинской помощи без учета посещения на дому патронажными бригадами паллиативной медицинской помощи***</t>
  </si>
  <si>
    <t>2022 год</t>
  </si>
  <si>
    <t xml:space="preserve">по условиям ее оказания в Республике Саха (Якутия) на 2022 год </t>
  </si>
  <si>
    <t xml:space="preserve">посещение с иными целями </t>
  </si>
  <si>
    <t>на 2020 год и на плановый период 2021 и 2022 годов по источникам финансового обеспечения</t>
  </si>
  <si>
    <t>30.3.1</t>
  </si>
  <si>
    <t>30.3.2</t>
  </si>
  <si>
    <t>30.3.3</t>
  </si>
  <si>
    <t>30.3.4</t>
  </si>
  <si>
    <t>30.3.5</t>
  </si>
  <si>
    <t>30.3.6</t>
  </si>
  <si>
    <t>МРТ, исследования</t>
  </si>
  <si>
    <t>КТ, исследования</t>
  </si>
  <si>
    <t>УЗИ ССС, исследования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</si>
  <si>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</si>
  <si>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</si>
  <si>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гистологические исследования с целью выявления онкологических заболеваний</t>
  </si>
  <si>
    <t>22.3.1</t>
  </si>
  <si>
    <t>22.3.2</t>
  </si>
  <si>
    <t>22.3.3</t>
  </si>
  <si>
    <t>22.3.4</t>
  </si>
  <si>
    <t>22.3.5</t>
  </si>
  <si>
    <t>22.3.6</t>
  </si>
  <si>
    <t>плановый период</t>
  </si>
  <si>
    <t>Стоимость территориальной программы</t>
  </si>
  <si>
    <t>скорая медицинская помощь при санитарно-авиационной эвакуации</t>
  </si>
  <si>
    <t xml:space="preserve">посещение с профилактическими и иными целями, в том числе </t>
  </si>
  <si>
    <t>посещение по паллиативной медицинской помощи</t>
  </si>
  <si>
    <t>22.1.3</t>
  </si>
  <si>
    <t xml:space="preserve">комплексное посещение для проведения профилактических медицинских осмотров </t>
  </si>
  <si>
    <t>комплексное посещение для проведения диспансеризации</t>
  </si>
  <si>
    <t>22.1.4</t>
  </si>
  <si>
    <t>22.1.4.1</t>
  </si>
  <si>
    <t>22.1.4.2</t>
  </si>
  <si>
    <t>30.1.2</t>
  </si>
  <si>
    <t>30.1.3</t>
  </si>
  <si>
    <t>35.1.3</t>
  </si>
  <si>
    <t>35.1.4</t>
  </si>
  <si>
    <t>35.1.4.1</t>
  </si>
  <si>
    <t>35.1.4.2</t>
  </si>
  <si>
    <t>35.3.1</t>
  </si>
  <si>
    <t>35.3.2</t>
  </si>
  <si>
    <t>35.3.3</t>
  </si>
  <si>
    <t>35.3.4</t>
  </si>
  <si>
    <t>35.3.5</t>
  </si>
  <si>
    <t>35.3.6</t>
  </si>
  <si>
    <t>30.1.3+35.1.3</t>
  </si>
  <si>
    <t>30.3.6+35.3.6</t>
  </si>
  <si>
    <t>30.1.2+35.1.2</t>
  </si>
  <si>
    <t>30.3.1+35.3.1</t>
  </si>
  <si>
    <t>30.3.5+35.3.5</t>
  </si>
  <si>
    <t>30.3.2+35.3.2</t>
  </si>
  <si>
    <t>30.3.3+35.3.3</t>
  </si>
  <si>
    <t>30.3.4+35.3.4</t>
  </si>
  <si>
    <t xml:space="preserve">Приложение № 9 
к Программе государственных гарантий бесплатного оказания гражданам медицинской помощи в Республике Саха (Якутия) на 2020 год 
и на плановый период 2021 и 2022 годов  </t>
  </si>
  <si>
    <t>Приложение № 8 
к Программе государственных гарантий бесплатного оказания гражданам медицинской помощи в Республике Саха (Якутия) на 2020 год 
и на плановый период 2021 и 2022 годов</t>
  </si>
  <si>
    <t xml:space="preserve">Приложение № 7 
к Программе государственных гарантий бесплатного оказания гражданам медицинской помощи в Республике Саха (Якутия) на 2020 год 
и на плановый период 2021 и 2022 годов  </t>
  </si>
  <si>
    <t>8) объем посещений с другими целями (патронаж, выдача справок и иных медицинских документов и др.)</t>
  </si>
  <si>
    <t>7) объем посещений центров амбулаторной онкологической помощи</t>
  </si>
  <si>
    <t>6) объем посещений медицинских работников, имеющих среднее медицинское образование, ведущих самостоятельный прием</t>
  </si>
  <si>
    <t>5) объем  посещений центров здоровья</t>
  </si>
  <si>
    <t xml:space="preserve">3.2) норматив посещений на дому выездными патронажными бригадами </t>
  </si>
  <si>
    <t>9</t>
  </si>
  <si>
    <t>3.1) норматив посещений по паллиативной медицинской помощи без учета посещений на дому патронажными бригадами паллиативной медицинской помощи</t>
  </si>
  <si>
    <t>8</t>
  </si>
  <si>
    <t>3) норматив посещений для паллиативной медицинской помощи (сумма строк 8+9), в том числе</t>
  </si>
  <si>
    <t xml:space="preserve">1) объем посещений для проведения диспансерного наблюдения (за исключением 1-го посещения) </t>
  </si>
  <si>
    <t>Объем посещений с профилактической и иными целями, всего (сумма строк 2+3+4), в том числе:</t>
  </si>
  <si>
    <t>Средства ОМС</t>
  </si>
  <si>
    <t xml:space="preserve">Бюджетные ассигнования бюджета субъекта РФ </t>
  </si>
  <si>
    <t>Источник финансового обеспечения</t>
  </si>
  <si>
    <t>Показатель (на 1 жителя/застрахованное лицо)</t>
  </si>
  <si>
    <t>Объем медицинской помощи в амбулаторных условиях, оказываемой с профилактической и иными целями, на 1 жителя/застрахованное лицо на 2020 год</t>
  </si>
  <si>
    <t>______________________</t>
  </si>
  <si>
    <t>* без учета бюджетных ассигнований федерального бюджета на оказание отдельным категориям граждан  государственной социальной помощи по обеспечению лекарственными препаратами, целевых программ, а также средств межбюджетных трансфертов (строки 06 и 10).</t>
  </si>
  <si>
    <t>** без учета расходов на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"Общегосударственные вопросы" и расходов на мероприятия по ликвидации кадрового дефицита в медицинских орагнизациях, оказывающих первичную медико-санитарную помощь.</t>
  </si>
  <si>
    <t>Стоимость территориальной программы государственных гарантий, всего (сумма строк 02 + 03)
в том числе:</t>
  </si>
  <si>
    <t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случае установления  дополнительного объема страхового обеспечения по страховым случаям, установленным базовой программой ОМС</t>
  </si>
  <si>
    <t xml:space="preserve">       I. Норматив комплексных посещений для проведения    профилактических медицинских осмотров (включая 1-е посещение для проведения диспансерного наблюдения)</t>
  </si>
  <si>
    <t xml:space="preserve">       II. Норматив комплексных посещений для проведения диспансеризации</t>
  </si>
  <si>
    <t xml:space="preserve">       III. Норматив посещений с иными целями (сумма строк 5+6+7+10+11+12+13+14), в том числе</t>
  </si>
  <si>
    <t xml:space="preserve">2) объем посещений для проведения 2-го этапа диспансеризации </t>
  </si>
  <si>
    <t>4) объем разовых посещений в связи с заболеванием</t>
  </si>
  <si>
    <t xml:space="preserve">Приложение № 6 
к Программе государственных гарантий бесплатного оказания 
гражданам медицинской помощи в Республике Саха (Якутия) 
на 2020 год и на плановый период 2021 и 2022 годов
  </t>
  </si>
  <si>
    <t>__________________________</t>
  </si>
  <si>
    <t>II. Стоимость территориальной программы ОМС всего (сумма строк 04 + 10)</t>
  </si>
  <si>
    <t>___________________________________</t>
  </si>
  <si>
    <t xml:space="preserve">                                                                        Приложение № 12 
                                                                             к Программе государственных гарантий бесплатного оказания 
                                                                    гражданам медицинской помощи в Республике Саха (Якутия) на 2020 год 
                                                                         и на плановый период 2021 и 2022 годов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</si>
</sst>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#,##0.0000"/>
    <numFmt numFmtId="171" formatCode="#,##0.0"/>
    <numFmt numFmtId="172" formatCode="#,##0.00000"/>
    <numFmt numFmtId="173" formatCode="#,##0.000000"/>
    <numFmt numFmtId="174" formatCode="0.00000"/>
    <numFmt numFmtId="175" formatCode="0.000"/>
    <numFmt numFmtId="176" formatCode="0.0000"/>
    <numFmt numFmtId="177" formatCode="\M\o\n\t\h\ \D.\y\y\y\y"/>
    <numFmt numFmtId="178" formatCode="_-* #,##0\ _р_._-;\-* #,##0\ _р_._-;_-* &quot;-&quot;\ _р_._-;_-@_-"/>
    <numFmt numFmtId="179" formatCode="_-* #,##0.00\ _р_._-;\-* #,##0.00\ _р_._-;_-* &quot;-&quot;??\ _р_._-;_-@_-"/>
    <numFmt numFmtId="180" formatCode="0.000000"/>
    <numFmt numFmtId="181" formatCode="_-* #,##0.0000_р_._-;\-* #,##0.0000_р_._-;_-* &quot;-&quot;??_р_._-;_-@_-"/>
    <numFmt numFmtId="182" formatCode="_-* #,##0_р_._-;\-* #,##0_р_._-;_-* &quot;-&quot;??_р_._-;_-@_-"/>
    <numFmt numFmtId="183" formatCode="_-* #,##0.0_р_._-;\-* #,##0.0_р_._-;_-* &quot;-&quot;??_р_._-;_-@_-"/>
    <numFmt numFmtId="184" formatCode="0.0000000"/>
    <numFmt numFmtId="185" formatCode="#,##0.0000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0"/>
      <color indexed="8"/>
      <name val="Arial"/>
      <family val="2"/>
      <charset val="204"/>
    </font>
    <font>
      <u/>
      <sz val="12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7">
    <xf numFmtId="0" fontId="0" fillId="0" borderId="0"/>
    <xf numFmtId="167" fontId="16" fillId="0" borderId="0"/>
    <xf numFmtId="165" fontId="16" fillId="0" borderId="0"/>
    <xf numFmtId="167" fontId="16" fillId="0" borderId="0"/>
    <xf numFmtId="167" fontId="2" fillId="0" borderId="0" applyFont="0" applyFill="0" applyBorder="0" applyAlignment="0" applyProtection="0"/>
    <xf numFmtId="166" fontId="16" fillId="0" borderId="0"/>
    <xf numFmtId="164" fontId="16" fillId="0" borderId="0"/>
    <xf numFmtId="166" fontId="16" fillId="0" borderId="0"/>
    <xf numFmtId="166" fontId="2" fillId="0" borderId="0" applyFont="0" applyFill="0" applyBorder="0" applyAlignment="0" applyProtection="0"/>
    <xf numFmtId="177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0" borderId="0"/>
    <xf numFmtId="0" fontId="27" fillId="0" borderId="0">
      <protection locked="0"/>
    </xf>
    <xf numFmtId="0" fontId="27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" fillId="0" borderId="0"/>
    <xf numFmtId="9" fontId="16" fillId="0" borderId="0"/>
    <xf numFmtId="9" fontId="16" fillId="0" borderId="0"/>
    <xf numFmtId="0" fontId="17" fillId="0" borderId="1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  <xf numFmtId="0" fontId="2" fillId="0" borderId="0"/>
    <xf numFmtId="0" fontId="26" fillId="0" borderId="0"/>
    <xf numFmtId="0" fontId="16" fillId="0" borderId="0"/>
    <xf numFmtId="0" fontId="28" fillId="0" borderId="0"/>
    <xf numFmtId="0" fontId="20" fillId="0" borderId="0">
      <protection locked="0"/>
    </xf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6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3" borderId="26" applyNumberFormat="0" applyFont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99">
    <xf numFmtId="0" fontId="0" fillId="0" borderId="0" xfId="0"/>
    <xf numFmtId="4" fontId="8" fillId="0" borderId="3" xfId="26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3" xfId="26" applyNumberFormat="1" applyFont="1" applyFill="1" applyBorder="1" applyAlignment="1">
      <alignment horizontal="center" vertical="center"/>
    </xf>
    <xf numFmtId="49" fontId="8" fillId="0" borderId="3" xfId="26" applyNumberFormat="1" applyFont="1" applyFill="1" applyBorder="1" applyAlignment="1">
      <alignment horizontal="center" vertical="center" wrapText="1"/>
    </xf>
    <xf numFmtId="175" fontId="8" fillId="0" borderId="3" xfId="26" applyNumberFormat="1" applyFont="1" applyFill="1" applyBorder="1" applyAlignment="1">
      <alignment horizontal="center" vertical="center"/>
    </xf>
    <xf numFmtId="2" fontId="8" fillId="0" borderId="3" xfId="26" applyNumberFormat="1" applyFont="1" applyFill="1" applyBorder="1" applyAlignment="1">
      <alignment horizontal="center" vertical="center"/>
    </xf>
    <xf numFmtId="169" fontId="8" fillId="0" borderId="3" xfId="26" applyNumberFormat="1" applyFont="1" applyFill="1" applyBorder="1" applyAlignment="1">
      <alignment horizontal="center" vertical="center"/>
    </xf>
    <xf numFmtId="2" fontId="11" fillId="0" borderId="3" xfId="26" applyNumberFormat="1" applyFont="1" applyFill="1" applyBorder="1" applyAlignment="1">
      <alignment horizontal="center" vertical="center"/>
    </xf>
    <xf numFmtId="169" fontId="11" fillId="0" borderId="3" xfId="26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8" fillId="0" borderId="3" xfId="2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0" xfId="26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0" xfId="26" applyFont="1" applyFill="1" applyAlignment="1">
      <alignment horizontal="center" vertical="center"/>
    </xf>
    <xf numFmtId="0" fontId="9" fillId="0" borderId="0" xfId="26" applyFont="1" applyFill="1" applyAlignment="1">
      <alignment horizontal="left"/>
    </xf>
    <xf numFmtId="0" fontId="9" fillId="0" borderId="0" xfId="26" applyFont="1" applyFill="1" applyAlignment="1">
      <alignment horizontal="center" vertical="center"/>
    </xf>
    <xf numFmtId="0" fontId="11" fillId="0" borderId="3" xfId="26" applyNumberFormat="1" applyFont="1" applyFill="1" applyBorder="1" applyAlignment="1">
      <alignment horizontal="center" vertical="center"/>
    </xf>
    <xf numFmtId="49" fontId="11" fillId="0" borderId="3" xfId="26" applyNumberFormat="1" applyFont="1" applyFill="1" applyBorder="1" applyAlignment="1">
      <alignment horizontal="center" vertical="center"/>
    </xf>
    <xf numFmtId="4" fontId="11" fillId="0" borderId="3" xfId="26" applyNumberFormat="1" applyFont="1" applyFill="1" applyBorder="1" applyAlignment="1" applyProtection="1">
      <alignment horizontal="center" vertical="center"/>
    </xf>
    <xf numFmtId="170" fontId="8" fillId="0" borderId="3" xfId="26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/>
    <xf numFmtId="4" fontId="0" fillId="0" borderId="0" xfId="0" applyNumberFormat="1" applyFill="1"/>
    <xf numFmtId="173" fontId="8" fillId="0" borderId="3" xfId="26" applyNumberFormat="1" applyFont="1" applyFill="1" applyBorder="1" applyAlignment="1" applyProtection="1">
      <alignment horizontal="center" vertical="center"/>
      <protection locked="0"/>
    </xf>
    <xf numFmtId="172" fontId="8" fillId="0" borderId="3" xfId="26" applyNumberFormat="1" applyFont="1" applyFill="1" applyBorder="1" applyAlignment="1" applyProtection="1">
      <alignment horizontal="center" vertical="center"/>
      <protection locked="0"/>
    </xf>
    <xf numFmtId="4" fontId="11" fillId="0" borderId="3" xfId="26" applyNumberFormat="1" applyFont="1" applyFill="1" applyBorder="1" applyAlignment="1">
      <alignment horizontal="center" vertical="center"/>
    </xf>
    <xf numFmtId="170" fontId="11" fillId="0" borderId="3" xfId="26" applyNumberFormat="1" applyFont="1" applyFill="1" applyBorder="1" applyAlignment="1" applyProtection="1">
      <alignment horizontal="center" vertical="center"/>
    </xf>
    <xf numFmtId="169" fontId="11" fillId="0" borderId="3" xfId="26" applyNumberFormat="1" applyFont="1" applyFill="1" applyBorder="1" applyAlignment="1" applyProtection="1">
      <alignment horizontal="center" vertical="center"/>
      <protection locked="0"/>
    </xf>
    <xf numFmtId="171" fontId="29" fillId="0" borderId="0" xfId="0" applyNumberFormat="1" applyFont="1" applyFill="1"/>
    <xf numFmtId="0" fontId="29" fillId="0" borderId="0" xfId="0" applyFont="1" applyFill="1"/>
    <xf numFmtId="169" fontId="11" fillId="0" borderId="3" xfId="26" applyNumberFormat="1" applyFont="1" applyFill="1" applyBorder="1" applyAlignment="1" applyProtection="1">
      <alignment horizontal="center" vertical="center"/>
    </xf>
    <xf numFmtId="4" fontId="11" fillId="0" borderId="3" xfId="26" applyNumberFormat="1" applyFont="1" applyFill="1" applyBorder="1" applyAlignment="1" applyProtection="1">
      <alignment horizontal="center" vertical="center"/>
      <protection locked="0"/>
    </xf>
    <xf numFmtId="171" fontId="11" fillId="0" borderId="3" xfId="65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9" fontId="8" fillId="0" borderId="3" xfId="26" applyNumberFormat="1" applyFont="1" applyFill="1" applyBorder="1" applyAlignment="1" applyProtection="1">
      <alignment horizontal="center" vertical="center"/>
    </xf>
    <xf numFmtId="4" fontId="8" fillId="0" borderId="3" xfId="26" applyNumberFormat="1" applyFont="1" applyFill="1" applyBorder="1" applyAlignment="1" applyProtection="1">
      <alignment horizontal="center" vertical="center"/>
    </xf>
    <xf numFmtId="49" fontId="11" fillId="0" borderId="3" xfId="26" applyNumberFormat="1" applyFont="1" applyFill="1" applyBorder="1" applyAlignment="1">
      <alignment horizontal="center" vertical="center" wrapText="1"/>
    </xf>
    <xf numFmtId="4" fontId="8" fillId="0" borderId="3" xfId="26" applyNumberFormat="1" applyFont="1" applyFill="1" applyBorder="1" applyAlignment="1">
      <alignment horizontal="center" vertical="center" wrapText="1"/>
    </xf>
    <xf numFmtId="2" fontId="8" fillId="0" borderId="3" xfId="26" applyNumberFormat="1" applyFont="1" applyFill="1" applyBorder="1" applyAlignment="1">
      <alignment horizontal="center" vertical="center" wrapText="1"/>
    </xf>
    <xf numFmtId="170" fontId="8" fillId="0" borderId="3" xfId="26" applyNumberFormat="1" applyFont="1" applyFill="1" applyBorder="1" applyAlignment="1" applyProtection="1">
      <alignment horizontal="center" vertical="center"/>
    </xf>
    <xf numFmtId="171" fontId="0" fillId="0" borderId="0" xfId="0" applyNumberFormat="1" applyFill="1"/>
    <xf numFmtId="0" fontId="8" fillId="0" borderId="3" xfId="26" applyNumberFormat="1" applyFont="1" applyFill="1" applyBorder="1" applyAlignment="1">
      <alignment horizontal="center" vertical="center"/>
    </xf>
    <xf numFmtId="176" fontId="8" fillId="0" borderId="3" xfId="26" applyNumberFormat="1" applyFont="1" applyFill="1" applyBorder="1" applyAlignment="1">
      <alignment horizontal="center" vertical="center"/>
    </xf>
    <xf numFmtId="174" fontId="8" fillId="0" borderId="3" xfId="26" applyNumberFormat="1" applyFont="1" applyFill="1" applyBorder="1" applyAlignment="1">
      <alignment horizontal="center" vertical="center"/>
    </xf>
    <xf numFmtId="171" fontId="11" fillId="0" borderId="3" xfId="26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5" fillId="0" borderId="0" xfId="26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8" fillId="0" borderId="0" xfId="3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68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1" fillId="0" borderId="2" xfId="26" applyNumberFormat="1" applyFont="1" applyFill="1" applyBorder="1" applyAlignment="1">
      <alignment horizontal="center" vertical="top"/>
    </xf>
    <xf numFmtId="0" fontId="11" fillId="0" borderId="2" xfId="26" applyNumberFormat="1" applyFont="1" applyFill="1" applyBorder="1" applyAlignment="1">
      <alignment horizontal="center" vertical="center"/>
    </xf>
    <xf numFmtId="169" fontId="11" fillId="0" borderId="20" xfId="26" applyNumberFormat="1" applyFont="1" applyFill="1" applyBorder="1" applyAlignment="1">
      <alignment horizontal="center" vertical="center"/>
    </xf>
    <xf numFmtId="169" fontId="8" fillId="0" borderId="20" xfId="26" applyNumberFormat="1" applyFont="1" applyFill="1" applyBorder="1" applyAlignment="1">
      <alignment horizontal="center" vertical="center"/>
    </xf>
    <xf numFmtId="49" fontId="8" fillId="0" borderId="7" xfId="26" applyNumberFormat="1" applyFont="1" applyFill="1" applyBorder="1" applyAlignment="1">
      <alignment horizontal="center" vertical="center" wrapText="1"/>
    </xf>
    <xf numFmtId="49" fontId="8" fillId="0" borderId="23" xfId="26" applyNumberFormat="1" applyFont="1" applyFill="1" applyBorder="1" applyAlignment="1">
      <alignment horizontal="center" vertical="center" wrapText="1"/>
    </xf>
    <xf numFmtId="2" fontId="8" fillId="0" borderId="7" xfId="26" applyNumberFormat="1" applyFont="1" applyFill="1" applyBorder="1" applyAlignment="1">
      <alignment horizontal="center" vertical="center" wrapText="1"/>
    </xf>
    <xf numFmtId="2" fontId="8" fillId="0" borderId="23" xfId="26" applyNumberFormat="1" applyFont="1" applyFill="1" applyBorder="1" applyAlignment="1">
      <alignment horizontal="center" vertical="center" wrapText="1"/>
    </xf>
    <xf numFmtId="169" fontId="11" fillId="0" borderId="5" xfId="26" applyNumberFormat="1" applyFont="1" applyFill="1" applyBorder="1" applyAlignment="1">
      <alignment horizontal="center" vertical="center"/>
    </xf>
    <xf numFmtId="4" fontId="8" fillId="0" borderId="5" xfId="26" applyNumberFormat="1" applyFont="1" applyFill="1" applyBorder="1" applyAlignment="1" applyProtection="1">
      <alignment horizontal="center" vertical="center"/>
    </xf>
    <xf numFmtId="167" fontId="30" fillId="0" borderId="0" xfId="65" applyFont="1" applyFill="1" applyAlignment="1">
      <alignment horizontal="center" vertical="center"/>
    </xf>
    <xf numFmtId="167" fontId="30" fillId="0" borderId="0" xfId="0" applyNumberFormat="1" applyFont="1" applyFill="1" applyAlignment="1">
      <alignment horizontal="center" vertical="center"/>
    </xf>
    <xf numFmtId="180" fontId="8" fillId="0" borderId="3" xfId="26" applyNumberFormat="1" applyFont="1" applyFill="1" applyBorder="1" applyAlignment="1">
      <alignment horizontal="center" vertical="center" wrapText="1"/>
    </xf>
    <xf numFmtId="175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175" fontId="31" fillId="0" borderId="25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wrapText="1"/>
    </xf>
    <xf numFmtId="175" fontId="37" fillId="0" borderId="5" xfId="97" applyNumberFormat="1" applyFont="1" applyFill="1" applyBorder="1" applyAlignment="1">
      <alignment horizontal="center" vertical="center"/>
    </xf>
    <xf numFmtId="167" fontId="37" fillId="0" borderId="5" xfId="97" applyFont="1" applyFill="1" applyBorder="1" applyAlignment="1">
      <alignment horizontal="center" vertical="center"/>
    </xf>
    <xf numFmtId="181" fontId="37" fillId="0" borderId="5" xfId="97" applyNumberFormat="1" applyFont="1" applyFill="1" applyBorder="1" applyAlignment="1">
      <alignment horizontal="center" vertical="center"/>
    </xf>
    <xf numFmtId="167" fontId="37" fillId="0" borderId="31" xfId="97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justify" vertical="center"/>
    </xf>
    <xf numFmtId="175" fontId="37" fillId="0" borderId="3" xfId="97" applyNumberFormat="1" applyFont="1" applyFill="1" applyBorder="1" applyAlignment="1">
      <alignment horizontal="center" vertical="center"/>
    </xf>
    <xf numFmtId="167" fontId="37" fillId="0" borderId="3" xfId="97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justify" vertical="center" wrapText="1"/>
    </xf>
    <xf numFmtId="174" fontId="37" fillId="0" borderId="3" xfId="97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justify" vertical="center"/>
    </xf>
    <xf numFmtId="175" fontId="37" fillId="0" borderId="4" xfId="97" applyNumberFormat="1" applyFont="1" applyFill="1" applyBorder="1" applyAlignment="1">
      <alignment horizontal="center" vertical="center"/>
    </xf>
    <xf numFmtId="167" fontId="37" fillId="0" borderId="4" xfId="97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justify" vertical="center"/>
    </xf>
    <xf numFmtId="175" fontId="29" fillId="0" borderId="34" xfId="0" applyNumberFormat="1" applyFont="1" applyFill="1" applyBorder="1"/>
    <xf numFmtId="175" fontId="31" fillId="0" borderId="34" xfId="97" applyNumberFormat="1" applyFont="1" applyFill="1" applyBorder="1" applyAlignment="1">
      <alignment horizontal="center" vertical="center"/>
    </xf>
    <xf numFmtId="0" fontId="29" fillId="0" borderId="34" xfId="0" applyFont="1" applyFill="1" applyBorder="1"/>
    <xf numFmtId="0" fontId="29" fillId="0" borderId="34" xfId="0" applyFont="1" applyFill="1" applyBorder="1" applyAlignment="1">
      <alignment horizontal="center"/>
    </xf>
    <xf numFmtId="167" fontId="31" fillId="0" borderId="34" xfId="97" applyFont="1" applyFill="1" applyBorder="1" applyAlignment="1">
      <alignment horizontal="center" vertical="center"/>
    </xf>
    <xf numFmtId="167" fontId="31" fillId="0" borderId="35" xfId="97" applyFont="1" applyFill="1" applyBorder="1" applyAlignment="1">
      <alignment horizontal="center" vertical="center"/>
    </xf>
    <xf numFmtId="0" fontId="37" fillId="0" borderId="0" xfId="0" applyFont="1" applyFill="1" applyAlignment="1">
      <alignment horizontal="justify" vertical="center"/>
    </xf>
    <xf numFmtId="167" fontId="0" fillId="0" borderId="0" xfId="97" applyFont="1" applyFill="1"/>
    <xf numFmtId="0" fontId="37" fillId="0" borderId="22" xfId="0" applyFont="1" applyFill="1" applyBorder="1" applyAlignment="1">
      <alignment vertical="center" wrapText="1"/>
    </xf>
    <xf numFmtId="167" fontId="37" fillId="0" borderId="20" xfId="97" applyFont="1" applyFill="1" applyBorder="1" applyAlignment="1">
      <alignment horizontal="center" vertical="center"/>
    </xf>
    <xf numFmtId="167" fontId="37" fillId="0" borderId="36" xfId="97" applyFont="1" applyFill="1" applyBorder="1" applyAlignment="1">
      <alignment horizontal="center" vertical="center"/>
    </xf>
    <xf numFmtId="0" fontId="0" fillId="3" borderId="26" xfId="96" applyFont="1"/>
    <xf numFmtId="0" fontId="31" fillId="3" borderId="40" xfId="96" applyFont="1" applyBorder="1" applyAlignment="1">
      <alignment horizontal="center" vertical="center"/>
    </xf>
    <xf numFmtId="175" fontId="31" fillId="3" borderId="3" xfId="96" applyNumberFormat="1" applyFont="1" applyBorder="1" applyAlignment="1">
      <alignment horizontal="center" vertical="center"/>
    </xf>
    <xf numFmtId="0" fontId="31" fillId="3" borderId="3" xfId="96" applyFont="1" applyBorder="1" applyAlignment="1">
      <alignment horizontal="center" vertical="center"/>
    </xf>
    <xf numFmtId="0" fontId="31" fillId="3" borderId="3" xfId="96" applyFont="1" applyBorder="1" applyAlignment="1">
      <alignment horizontal="center" vertical="center" wrapText="1"/>
    </xf>
    <xf numFmtId="0" fontId="37" fillId="3" borderId="40" xfId="96" applyFont="1" applyBorder="1" applyAlignment="1">
      <alignment horizontal="justify" vertical="center"/>
    </xf>
    <xf numFmtId="0" fontId="37" fillId="3" borderId="3" xfId="96" applyFont="1" applyBorder="1" applyAlignment="1">
      <alignment horizontal="left" vertical="center" wrapText="1"/>
    </xf>
    <xf numFmtId="168" fontId="37" fillId="3" borderId="3" xfId="96" applyNumberFormat="1" applyFont="1" applyBorder="1" applyAlignment="1">
      <alignment horizontal="center" vertical="center"/>
    </xf>
    <xf numFmtId="181" fontId="37" fillId="3" borderId="3" xfId="96" applyNumberFormat="1" applyFont="1" applyBorder="1" applyAlignment="1">
      <alignment horizontal="center" vertical="center"/>
    </xf>
    <xf numFmtId="182" fontId="37" fillId="3" borderId="3" xfId="96" applyNumberFormat="1" applyFont="1" applyBorder="1" applyAlignment="1">
      <alignment vertical="center"/>
    </xf>
    <xf numFmtId="182" fontId="37" fillId="3" borderId="3" xfId="96" applyNumberFormat="1" applyFont="1" applyBorder="1" applyAlignment="1">
      <alignment horizontal="center" vertical="center"/>
    </xf>
    <xf numFmtId="167" fontId="37" fillId="3" borderId="3" xfId="96" applyNumberFormat="1" applyFont="1" applyBorder="1" applyAlignment="1">
      <alignment horizontal="center" vertical="center"/>
    </xf>
    <xf numFmtId="167" fontId="3" fillId="3" borderId="3" xfId="97" applyFont="1" applyFill="1" applyBorder="1" applyAlignment="1">
      <alignment vertical="center"/>
    </xf>
    <xf numFmtId="167" fontId="37" fillId="3" borderId="40" xfId="96" applyNumberFormat="1" applyFont="1" applyBorder="1" applyAlignment="1">
      <alignment horizontal="center" vertical="center"/>
    </xf>
    <xf numFmtId="0" fontId="37" fillId="3" borderId="3" xfId="96" applyFont="1" applyBorder="1" applyAlignment="1">
      <alignment horizontal="left" vertical="center"/>
    </xf>
    <xf numFmtId="0" fontId="31" fillId="3" borderId="3" xfId="96" applyFont="1" applyBorder="1" applyAlignment="1">
      <alignment horizontal="justify" vertical="center"/>
    </xf>
    <xf numFmtId="175" fontId="29" fillId="3" borderId="3" xfId="96" applyNumberFormat="1" applyFont="1" applyBorder="1"/>
    <xf numFmtId="0" fontId="29" fillId="3" borderId="3" xfId="96" applyFont="1" applyBorder="1"/>
    <xf numFmtId="0" fontId="29" fillId="3" borderId="3" xfId="96" applyFont="1" applyBorder="1" applyAlignment="1">
      <alignment horizontal="center"/>
    </xf>
    <xf numFmtId="167" fontId="31" fillId="3" borderId="3" xfId="96" applyNumberFormat="1" applyFont="1" applyBorder="1" applyAlignment="1">
      <alignment horizontal="center" vertical="center"/>
    </xf>
    <xf numFmtId="167" fontId="4" fillId="3" borderId="3" xfId="97" applyFont="1" applyFill="1" applyBorder="1"/>
    <xf numFmtId="175" fontId="29" fillId="3" borderId="2" xfId="96" applyNumberFormat="1" applyFont="1" applyBorder="1"/>
    <xf numFmtId="175" fontId="31" fillId="3" borderId="7" xfId="96" applyNumberFormat="1" applyFont="1" applyBorder="1" applyAlignment="1">
      <alignment horizontal="center" vertical="center"/>
    </xf>
    <xf numFmtId="167" fontId="4" fillId="3" borderId="3" xfId="97" applyFont="1" applyFill="1" applyBorder="1" applyAlignment="1">
      <alignment horizontal="center" vertical="center" wrapText="1"/>
    </xf>
    <xf numFmtId="167" fontId="31" fillId="3" borderId="3" xfId="96" applyNumberFormat="1" applyFont="1" applyBorder="1" applyAlignment="1">
      <alignment horizontal="center" vertical="center" wrapText="1"/>
    </xf>
    <xf numFmtId="167" fontId="37" fillId="3" borderId="0" xfId="96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vertical="center"/>
    </xf>
    <xf numFmtId="183" fontId="37" fillId="5" borderId="3" xfId="97" applyNumberFormat="1" applyFont="1" applyFill="1" applyBorder="1" applyAlignment="1">
      <alignment vertical="center"/>
    </xf>
    <xf numFmtId="2" fontId="37" fillId="5" borderId="3" xfId="0" applyNumberFormat="1" applyFont="1" applyFill="1" applyBorder="1" applyAlignment="1">
      <alignment horizontal="center" vertical="center"/>
    </xf>
    <xf numFmtId="2" fontId="37" fillId="0" borderId="3" xfId="0" applyNumberFormat="1" applyFont="1" applyFill="1" applyBorder="1" applyAlignment="1">
      <alignment horizontal="center" vertical="center"/>
    </xf>
    <xf numFmtId="43" fontId="37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176" fontId="37" fillId="0" borderId="0" xfId="0" applyNumberFormat="1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75" fontId="37" fillId="0" borderId="0" xfId="0" applyNumberFormat="1" applyFont="1" applyFill="1" applyAlignment="1">
      <alignment vertical="center"/>
    </xf>
    <xf numFmtId="175" fontId="37" fillId="0" borderId="0" xfId="0" applyNumberFormat="1" applyFont="1" applyFill="1"/>
    <xf numFmtId="0" fontId="37" fillId="0" borderId="0" xfId="0" applyFont="1" applyFill="1"/>
    <xf numFmtId="175" fontId="31" fillId="0" borderId="0" xfId="0" applyNumberFormat="1" applyFont="1" applyFill="1"/>
    <xf numFmtId="0" fontId="38" fillId="0" borderId="0" xfId="0" applyFont="1" applyFill="1"/>
    <xf numFmtId="175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6" fillId="0" borderId="0" xfId="0" applyFont="1" applyFill="1"/>
    <xf numFmtId="176" fontId="31" fillId="0" borderId="0" xfId="0" applyNumberFormat="1" applyFont="1" applyFill="1" applyAlignment="1">
      <alignment vertical="center"/>
    </xf>
    <xf numFmtId="175" fontId="36" fillId="0" borderId="0" xfId="0" applyNumberFormat="1" applyFont="1" applyFill="1"/>
    <xf numFmtId="0" fontId="36" fillId="0" borderId="0" xfId="0" applyFont="1" applyFill="1" applyAlignment="1">
      <alignment horizontal="center"/>
    </xf>
    <xf numFmtId="175" fontId="39" fillId="0" borderId="0" xfId="0" applyNumberFormat="1" applyFont="1" applyFill="1"/>
    <xf numFmtId="0" fontId="39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vertical="center" wrapText="1"/>
    </xf>
    <xf numFmtId="0" fontId="40" fillId="0" borderId="0" xfId="0" applyFont="1" applyFill="1"/>
    <xf numFmtId="175" fontId="36" fillId="0" borderId="0" xfId="0" applyNumberFormat="1" applyFont="1" applyFill="1" applyAlignment="1">
      <alignment horizontal="center"/>
    </xf>
    <xf numFmtId="176" fontId="39" fillId="0" borderId="0" xfId="0" applyNumberFormat="1" applyFont="1" applyFill="1"/>
    <xf numFmtId="176" fontId="36" fillId="0" borderId="0" xfId="0" applyNumberFormat="1" applyFont="1" applyFill="1"/>
    <xf numFmtId="43" fontId="0" fillId="0" borderId="0" xfId="0" applyNumberFormat="1" applyFill="1"/>
    <xf numFmtId="167" fontId="37" fillId="4" borderId="31" xfId="97" applyFont="1" applyFill="1" applyBorder="1" applyAlignment="1">
      <alignment horizontal="center" vertical="center"/>
    </xf>
    <xf numFmtId="176" fontId="37" fillId="0" borderId="4" xfId="97" applyNumberFormat="1" applyFont="1" applyFill="1" applyBorder="1" applyAlignment="1">
      <alignment horizontal="center" vertical="center"/>
    </xf>
    <xf numFmtId="167" fontId="37" fillId="2" borderId="31" xfId="97" applyFont="1" applyFill="1" applyBorder="1" applyAlignment="1">
      <alignment horizontal="center" vertical="center"/>
    </xf>
    <xf numFmtId="176" fontId="37" fillId="0" borderId="3" xfId="97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0" xfId="0" applyFill="1"/>
    <xf numFmtId="169" fontId="8" fillId="0" borderId="3" xfId="26" applyNumberFormat="1" applyFont="1" applyFill="1" applyBorder="1" applyAlignment="1" applyProtection="1">
      <alignment horizontal="center" vertical="center"/>
      <protection locked="0"/>
    </xf>
    <xf numFmtId="171" fontId="8" fillId="0" borderId="3" xfId="65" applyNumberFormat="1" applyFont="1" applyFill="1" applyBorder="1" applyAlignment="1">
      <alignment horizontal="center" vertical="center"/>
    </xf>
    <xf numFmtId="0" fontId="3" fillId="0" borderId="0" xfId="26" applyFont="1" applyFill="1" applyAlignment="1">
      <alignment horizontal="left"/>
    </xf>
    <xf numFmtId="0" fontId="3" fillId="0" borderId="0" xfId="26" applyFont="1" applyFill="1" applyAlignment="1">
      <alignment horizontal="center" vertical="center" wrapText="1"/>
    </xf>
    <xf numFmtId="0" fontId="3" fillId="0" borderId="0" xfId="26" applyFont="1" applyFill="1" applyAlignment="1">
      <alignment vertical="center"/>
    </xf>
    <xf numFmtId="0" fontId="3" fillId="0" borderId="3" xfId="26" applyNumberFormat="1" applyFont="1" applyFill="1" applyBorder="1" applyAlignment="1">
      <alignment horizontal="center" vertical="top"/>
    </xf>
    <xf numFmtId="0" fontId="3" fillId="0" borderId="3" xfId="26" applyFont="1" applyFill="1" applyBorder="1" applyAlignment="1">
      <alignment horizontal="left"/>
    </xf>
    <xf numFmtId="0" fontId="4" fillId="0" borderId="3" xfId="26" applyFont="1" applyFill="1" applyBorder="1" applyAlignment="1">
      <alignment horizontal="left" vertical="top" wrapText="1"/>
    </xf>
    <xf numFmtId="49" fontId="3" fillId="0" borderId="3" xfId="26" applyNumberFormat="1" applyFont="1" applyFill="1" applyBorder="1" applyAlignment="1">
      <alignment horizontal="center" vertical="center"/>
    </xf>
    <xf numFmtId="4" fontId="3" fillId="0" borderId="3" xfId="26" applyNumberFormat="1" applyFont="1" applyFill="1" applyBorder="1" applyAlignment="1">
      <alignment horizontal="center" vertical="center"/>
    </xf>
    <xf numFmtId="4" fontId="3" fillId="0" borderId="3" xfId="26" applyNumberFormat="1" applyFont="1" applyFill="1" applyBorder="1" applyAlignment="1">
      <alignment horizontal="center"/>
    </xf>
    <xf numFmtId="2" fontId="3" fillId="0" borderId="3" xfId="26" applyNumberFormat="1" applyFont="1" applyFill="1" applyBorder="1" applyAlignment="1">
      <alignment horizontal="center"/>
    </xf>
    <xf numFmtId="4" fontId="3" fillId="0" borderId="0" xfId="26" applyNumberFormat="1" applyFont="1" applyFill="1" applyAlignment="1">
      <alignment horizontal="left"/>
    </xf>
    <xf numFmtId="0" fontId="3" fillId="0" borderId="3" xfId="26" applyFont="1" applyFill="1" applyBorder="1" applyAlignment="1">
      <alignment horizontal="left" vertical="top" wrapText="1"/>
    </xf>
    <xf numFmtId="0" fontId="5" fillId="0" borderId="3" xfId="26" applyFont="1" applyFill="1" applyBorder="1" applyAlignment="1">
      <alignment horizontal="left" vertical="top" wrapText="1"/>
    </xf>
    <xf numFmtId="0" fontId="3" fillId="0" borderId="0" xfId="26" applyFont="1" applyFill="1" applyBorder="1" applyAlignment="1">
      <alignment horizontal="left" vertical="top" wrapText="1"/>
    </xf>
    <xf numFmtId="49" fontId="3" fillId="0" borderId="0" xfId="26" applyNumberFormat="1" applyFont="1" applyFill="1" applyBorder="1" applyAlignment="1">
      <alignment horizontal="center" vertical="top"/>
    </xf>
    <xf numFmtId="4" fontId="3" fillId="0" borderId="0" xfId="26" applyNumberFormat="1" applyFont="1" applyFill="1" applyBorder="1" applyAlignment="1">
      <alignment horizontal="center" vertical="top"/>
    </xf>
    <xf numFmtId="0" fontId="3" fillId="0" borderId="3" xfId="26" applyFont="1" applyFill="1" applyBorder="1" applyAlignment="1">
      <alignment horizontal="center" vertical="center" wrapText="1"/>
    </xf>
    <xf numFmtId="0" fontId="3" fillId="0" borderId="3" xfId="26" applyFont="1" applyFill="1" applyBorder="1" applyAlignment="1">
      <alignment horizontal="center" wrapText="1"/>
    </xf>
    <xf numFmtId="0" fontId="3" fillId="0" borderId="0" xfId="26" applyFont="1" applyFill="1" applyAlignment="1">
      <alignment horizontal="center" wrapText="1"/>
    </xf>
    <xf numFmtId="0" fontId="6" fillId="0" borderId="3" xfId="0" applyFont="1" applyFill="1" applyBorder="1" applyAlignment="1">
      <alignment vertical="center" wrapText="1"/>
    </xf>
    <xf numFmtId="171" fontId="6" fillId="0" borderId="3" xfId="0" applyNumberFormat="1" applyFont="1" applyFill="1" applyBorder="1" applyAlignment="1">
      <alignment horizontal="center" vertical="center" wrapText="1"/>
    </xf>
    <xf numFmtId="171" fontId="9" fillId="0" borderId="3" xfId="26" applyNumberFormat="1" applyFont="1" applyFill="1" applyBorder="1" applyAlignment="1">
      <alignment horizontal="center" vertical="center" wrapText="1"/>
    </xf>
    <xf numFmtId="0" fontId="3" fillId="0" borderId="3" xfId="26" applyFont="1" applyFill="1" applyBorder="1" applyAlignment="1">
      <alignment horizontal="right"/>
    </xf>
    <xf numFmtId="4" fontId="3" fillId="0" borderId="3" xfId="26" applyNumberFormat="1" applyFont="1" applyFill="1" applyBorder="1" applyAlignment="1">
      <alignment horizontal="left"/>
    </xf>
    <xf numFmtId="2" fontId="3" fillId="0" borderId="0" xfId="26" applyNumberFormat="1" applyFont="1" applyFill="1" applyAlignment="1">
      <alignment horizontal="left"/>
    </xf>
    <xf numFmtId="171" fontId="3" fillId="0" borderId="0" xfId="26" applyNumberFormat="1" applyFont="1" applyFill="1" applyAlignment="1">
      <alignment horizontal="left"/>
    </xf>
    <xf numFmtId="169" fontId="8" fillId="0" borderId="3" xfId="27" applyNumberFormat="1" applyFont="1" applyFill="1" applyBorder="1" applyAlignment="1">
      <alignment horizontal="center" vertical="center" wrapText="1"/>
    </xf>
    <xf numFmtId="172" fontId="11" fillId="0" borderId="3" xfId="26" applyNumberFormat="1" applyFont="1" applyFill="1" applyBorder="1" applyAlignment="1" applyProtection="1">
      <alignment horizontal="center" vertical="center"/>
    </xf>
    <xf numFmtId="0" fontId="4" fillId="0" borderId="0" xfId="26" applyFont="1" applyFill="1" applyAlignment="1">
      <alignment horizontal="left"/>
    </xf>
    <xf numFmtId="168" fontId="29" fillId="0" borderId="0" xfId="0" applyNumberFormat="1" applyFont="1" applyFill="1"/>
    <xf numFmtId="4" fontId="36" fillId="0" borderId="0" xfId="0" applyNumberFormat="1" applyFont="1" applyFill="1"/>
    <xf numFmtId="169" fontId="8" fillId="0" borderId="3" xfId="65" applyNumberFormat="1" applyFont="1" applyFill="1" applyBorder="1" applyAlignment="1">
      <alignment horizontal="center" vertical="center"/>
    </xf>
    <xf numFmtId="172" fontId="0" fillId="0" borderId="0" xfId="0" applyNumberFormat="1" applyFill="1"/>
    <xf numFmtId="10" fontId="0" fillId="0" borderId="0" xfId="0" applyNumberFormat="1" applyFill="1"/>
    <xf numFmtId="1" fontId="0" fillId="0" borderId="0" xfId="0" applyNumberFormat="1" applyFill="1"/>
    <xf numFmtId="169" fontId="8" fillId="0" borderId="0" xfId="65" applyNumberFormat="1" applyFont="1" applyFill="1" applyBorder="1" applyAlignment="1">
      <alignment horizontal="center" vertical="center"/>
    </xf>
    <xf numFmtId="0" fontId="44" fillId="0" borderId="0" xfId="0" applyFont="1" applyFill="1"/>
    <xf numFmtId="10" fontId="3" fillId="0" borderId="0" xfId="26" applyNumberFormat="1" applyFont="1" applyFill="1" applyAlignment="1">
      <alignment horizontal="left"/>
    </xf>
    <xf numFmtId="4" fontId="3" fillId="0" borderId="0" xfId="26" applyNumberFormat="1" applyFont="1" applyFill="1" applyAlignment="1">
      <alignment horizontal="center" wrapText="1"/>
    </xf>
    <xf numFmtId="168" fontId="3" fillId="0" borderId="0" xfId="26" applyNumberFormat="1" applyFont="1" applyFill="1" applyAlignment="1">
      <alignment horizontal="left"/>
    </xf>
    <xf numFmtId="168" fontId="0" fillId="0" borderId="0" xfId="0" applyNumberFormat="1" applyFill="1"/>
    <xf numFmtId="174" fontId="0" fillId="0" borderId="0" xfId="0" applyNumberFormat="1" applyFill="1"/>
    <xf numFmtId="0" fontId="0" fillId="0" borderId="2" xfId="0" applyFill="1" applyBorder="1"/>
    <xf numFmtId="0" fontId="0" fillId="0" borderId="6" xfId="0" applyFill="1" applyBorder="1"/>
    <xf numFmtId="1" fontId="0" fillId="0" borderId="7" xfId="0" applyNumberFormat="1" applyFill="1" applyBorder="1"/>
    <xf numFmtId="0" fontId="0" fillId="0" borderId="7" xfId="0" applyFill="1" applyBorder="1"/>
    <xf numFmtId="2" fontId="3" fillId="0" borderId="0" xfId="26" applyNumberFormat="1" applyFont="1" applyFill="1" applyAlignment="1">
      <alignment horizontal="center" wrapText="1"/>
    </xf>
    <xf numFmtId="2" fontId="0" fillId="0" borderId="0" xfId="0" applyNumberFormat="1" applyFill="1"/>
    <xf numFmtId="4" fontId="3" fillId="0" borderId="0" xfId="26" applyNumberFormat="1" applyFont="1" applyFill="1" applyBorder="1" applyAlignment="1">
      <alignment horizontal="center" vertical="center"/>
    </xf>
    <xf numFmtId="4" fontId="4" fillId="0" borderId="0" xfId="26" applyNumberFormat="1" applyFont="1" applyFill="1" applyAlignment="1">
      <alignment horizontal="left"/>
    </xf>
    <xf numFmtId="167" fontId="45" fillId="0" borderId="0" xfId="0" applyNumberFormat="1" applyFont="1" applyFill="1" applyAlignment="1">
      <alignment horizontal="center" vertical="center"/>
    </xf>
    <xf numFmtId="171" fontId="8" fillId="0" borderId="3" xfId="26" applyNumberFormat="1" applyFont="1" applyFill="1" applyBorder="1" applyAlignment="1">
      <alignment horizontal="center" vertical="center"/>
    </xf>
    <xf numFmtId="175" fontId="8" fillId="0" borderId="3" xfId="27" applyNumberFormat="1" applyFont="1" applyFill="1" applyBorder="1" applyAlignment="1">
      <alignment horizontal="center" vertical="center" wrapText="1"/>
    </xf>
    <xf numFmtId="0" fontId="4" fillId="0" borderId="0" xfId="26" applyFont="1" applyFill="1" applyAlignment="1">
      <alignment horizontal="center"/>
    </xf>
    <xf numFmtId="171" fontId="43" fillId="0" borderId="0" xfId="26" applyNumberFormat="1" applyFont="1" applyFill="1" applyAlignment="1">
      <alignment horizontal="center"/>
    </xf>
    <xf numFmtId="171" fontId="4" fillId="0" borderId="0" xfId="26" applyNumberFormat="1" applyFont="1" applyFill="1" applyAlignment="1">
      <alignment horizontal="left"/>
    </xf>
    <xf numFmtId="0" fontId="4" fillId="0" borderId="0" xfId="26" applyFont="1" applyFill="1" applyAlignment="1">
      <alignment horizontal="left" vertical="top" wrapText="1"/>
    </xf>
    <xf numFmtId="171" fontId="11" fillId="0" borderId="0" xfId="65" applyNumberFormat="1" applyFont="1" applyFill="1" applyBorder="1" applyAlignment="1">
      <alignment horizontal="center" vertical="center"/>
    </xf>
    <xf numFmtId="4" fontId="15" fillId="0" borderId="0" xfId="26" applyNumberFormat="1" applyFont="1" applyFill="1" applyAlignment="1">
      <alignment horizontal="center" vertical="center"/>
    </xf>
    <xf numFmtId="0" fontId="33" fillId="0" borderId="0" xfId="26" applyFont="1" applyFill="1" applyAlignment="1">
      <alignment vertical="center" wrapText="1"/>
    </xf>
    <xf numFmtId="167" fontId="8" fillId="0" borderId="3" xfId="65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4" fontId="8" fillId="0" borderId="3" xfId="26" applyNumberFormat="1" applyFont="1" applyFill="1" applyBorder="1" applyAlignment="1">
      <alignment horizontal="center" vertical="center" wrapText="1"/>
    </xf>
    <xf numFmtId="167" fontId="8" fillId="0" borderId="7" xfId="65" applyFont="1" applyFill="1" applyBorder="1" applyAlignment="1">
      <alignment horizontal="center" vertical="center" wrapText="1"/>
    </xf>
    <xf numFmtId="4" fontId="8" fillId="0" borderId="3" xfId="65" applyNumberFormat="1" applyFont="1" applyFill="1" applyBorder="1" applyAlignment="1">
      <alignment horizontal="center" vertical="center"/>
    </xf>
    <xf numFmtId="172" fontId="8" fillId="0" borderId="3" xfId="26" applyNumberFormat="1" applyFont="1" applyFill="1" applyBorder="1" applyAlignment="1" applyProtection="1">
      <alignment horizontal="center" vertical="center"/>
    </xf>
    <xf numFmtId="167" fontId="8" fillId="0" borderId="3" xfId="65" applyFont="1" applyFill="1" applyBorder="1" applyAlignment="1">
      <alignment horizontal="center" vertical="center" wrapText="1"/>
    </xf>
    <xf numFmtId="4" fontId="11" fillId="0" borderId="3" xfId="65" applyNumberFormat="1" applyFont="1" applyFill="1" applyBorder="1" applyAlignment="1">
      <alignment horizontal="center" vertical="center"/>
    </xf>
    <xf numFmtId="4" fontId="8" fillId="0" borderId="7" xfId="65" applyNumberFormat="1" applyFont="1" applyFill="1" applyBorder="1" applyAlignment="1">
      <alignment horizontal="center" vertical="center" wrapText="1"/>
    </xf>
    <xf numFmtId="4" fontId="8" fillId="0" borderId="7" xfId="26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185" fontId="8" fillId="0" borderId="3" xfId="26" applyNumberFormat="1" applyFont="1" applyFill="1" applyBorder="1" applyAlignment="1">
      <alignment horizontal="center" vertical="center" wrapText="1"/>
    </xf>
    <xf numFmtId="4" fontId="8" fillId="0" borderId="3" xfId="65" applyNumberFormat="1" applyFont="1" applyFill="1" applyBorder="1" applyAlignment="1">
      <alignment horizontal="center" vertical="center" wrapText="1"/>
    </xf>
    <xf numFmtId="0" fontId="3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4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center" vertical="center"/>
    </xf>
    <xf numFmtId="176" fontId="37" fillId="0" borderId="3" xfId="0" applyNumberFormat="1" applyFont="1" applyBorder="1" applyAlignment="1">
      <alignment horizontal="center" vertical="center"/>
    </xf>
    <xf numFmtId="49" fontId="46" fillId="0" borderId="3" xfId="0" applyNumberFormat="1" applyFont="1" applyBorder="1" applyAlignment="1">
      <alignment horizontal="center" vertical="center"/>
    </xf>
    <xf numFmtId="0" fontId="46" fillId="0" borderId="3" xfId="0" applyFont="1" applyFill="1" applyBorder="1" applyAlignment="1">
      <alignment horizontal="left" vertical="center" wrapText="1"/>
    </xf>
    <xf numFmtId="175" fontId="37" fillId="0" borderId="3" xfId="0" applyNumberFormat="1" applyFont="1" applyBorder="1" applyAlignment="1">
      <alignment horizontal="center" vertical="center"/>
    </xf>
    <xf numFmtId="2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8" fillId="0" borderId="3" xfId="27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2" fillId="0" borderId="0" xfId="26" applyFont="1" applyFill="1" applyAlignment="1">
      <alignment horizontal="center"/>
    </xf>
    <xf numFmtId="0" fontId="4" fillId="0" borderId="3" xfId="26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26" applyFont="1" applyFill="1" applyAlignment="1">
      <alignment horizontal="left" vertical="top" wrapText="1"/>
    </xf>
    <xf numFmtId="0" fontId="11" fillId="0" borderId="3" xfId="26" applyNumberFormat="1" applyFont="1" applyFill="1" applyBorder="1" applyAlignment="1">
      <alignment horizontal="center" vertical="center" wrapText="1"/>
    </xf>
    <xf numFmtId="49" fontId="8" fillId="0" borderId="3" xfId="26" applyNumberFormat="1" applyFont="1" applyFill="1" applyBorder="1" applyAlignment="1">
      <alignment horizontal="left" vertical="center" wrapText="1"/>
    </xf>
    <xf numFmtId="0" fontId="11" fillId="0" borderId="3" xfId="26" applyNumberFormat="1" applyFont="1" applyFill="1" applyBorder="1" applyAlignment="1">
      <alignment horizontal="center" vertical="top"/>
    </xf>
    <xf numFmtId="49" fontId="12" fillId="0" borderId="3" xfId="26" applyNumberFormat="1" applyFont="1" applyFill="1" applyBorder="1" applyAlignment="1">
      <alignment horizontal="center" vertical="center" wrapText="1"/>
    </xf>
    <xf numFmtId="49" fontId="11" fillId="0" borderId="3" xfId="26" applyNumberFormat="1" applyFont="1" applyFill="1" applyBorder="1" applyAlignment="1">
      <alignment horizontal="left" vertical="center" wrapText="1"/>
    </xf>
    <xf numFmtId="0" fontId="15" fillId="0" borderId="0" xfId="26" applyFont="1" applyFill="1" applyAlignment="1">
      <alignment horizontal="left"/>
    </xf>
    <xf numFmtId="0" fontId="11" fillId="0" borderId="2" xfId="26" applyNumberFormat="1" applyFont="1" applyFill="1" applyBorder="1" applyAlignment="1">
      <alignment horizontal="center" vertical="center" wrapText="1"/>
    </xf>
    <xf numFmtId="175" fontId="8" fillId="0" borderId="7" xfId="26" applyNumberFormat="1" applyFont="1" applyFill="1" applyBorder="1" applyAlignment="1">
      <alignment horizontal="center" vertical="center" wrapText="1"/>
    </xf>
    <xf numFmtId="175" fontId="8" fillId="0" borderId="3" xfId="26" applyNumberFormat="1" applyFont="1" applyFill="1" applyBorder="1" applyAlignment="1">
      <alignment horizontal="center" vertical="center" wrapText="1"/>
    </xf>
    <xf numFmtId="0" fontId="4" fillId="0" borderId="3" xfId="26" applyNumberFormat="1" applyFont="1" applyFill="1" applyBorder="1" applyAlignment="1">
      <alignment horizontal="center" vertical="top" wrapText="1"/>
    </xf>
    <xf numFmtId="0" fontId="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vertical="center" wrapText="1"/>
    </xf>
    <xf numFmtId="0" fontId="3" fillId="0" borderId="3" xfId="26" applyFont="1" applyFill="1" applyBorder="1" applyAlignment="1">
      <alignment horizontal="center" vertical="center"/>
    </xf>
    <xf numFmtId="0" fontId="32" fillId="0" borderId="0" xfId="26" applyFont="1" applyFill="1" applyAlignment="1">
      <alignment horizontal="center"/>
    </xf>
    <xf numFmtId="0" fontId="4" fillId="0" borderId="9" xfId="26" applyNumberFormat="1" applyFont="1" applyFill="1" applyBorder="1" applyAlignment="1">
      <alignment horizontal="center" vertical="center" wrapText="1"/>
    </xf>
    <xf numFmtId="0" fontId="4" fillId="0" borderId="8" xfId="26" applyNumberFormat="1" applyFont="1" applyFill="1" applyBorder="1" applyAlignment="1">
      <alignment horizontal="center" vertical="center" wrapText="1"/>
    </xf>
    <xf numFmtId="0" fontId="4" fillId="0" borderId="13" xfId="26" applyNumberFormat="1" applyFont="1" applyFill="1" applyBorder="1" applyAlignment="1">
      <alignment horizontal="center" vertical="center" wrapText="1"/>
    </xf>
    <xf numFmtId="0" fontId="4" fillId="0" borderId="14" xfId="26" applyNumberFormat="1" applyFont="1" applyFill="1" applyBorder="1" applyAlignment="1">
      <alignment horizontal="center" vertical="center" wrapText="1"/>
    </xf>
    <xf numFmtId="0" fontId="4" fillId="0" borderId="3" xfId="26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26" applyFont="1" applyFill="1" applyAlignment="1">
      <alignment horizontal="left" vertical="top" wrapText="1"/>
    </xf>
    <xf numFmtId="0" fontId="9" fillId="0" borderId="0" xfId="26" applyFont="1" applyFill="1" applyAlignment="1">
      <alignment horizontal="center" vertical="center" wrapText="1"/>
    </xf>
    <xf numFmtId="0" fontId="35" fillId="0" borderId="0" xfId="26" applyFont="1" applyFill="1" applyAlignment="1">
      <alignment horizontal="center"/>
    </xf>
    <xf numFmtId="0" fontId="10" fillId="0" borderId="3" xfId="26" applyNumberFormat="1" applyFont="1" applyFill="1" applyBorder="1" applyAlignment="1">
      <alignment horizontal="center" vertical="center" wrapText="1"/>
    </xf>
    <xf numFmtId="0" fontId="11" fillId="0" borderId="3" xfId="26" applyNumberFormat="1" applyFont="1" applyFill="1" applyBorder="1" applyAlignment="1">
      <alignment horizontal="center" vertical="center" wrapText="1"/>
    </xf>
    <xf numFmtId="49" fontId="8" fillId="0" borderId="3" xfId="26" applyNumberFormat="1" applyFont="1" applyFill="1" applyBorder="1" applyAlignment="1">
      <alignment horizontal="left" vertical="center" wrapText="1"/>
    </xf>
    <xf numFmtId="0" fontId="11" fillId="0" borderId="3" xfId="26" applyNumberFormat="1" applyFont="1" applyFill="1" applyBorder="1" applyAlignment="1">
      <alignment horizontal="center" vertical="top"/>
    </xf>
    <xf numFmtId="0" fontId="11" fillId="0" borderId="3" xfId="26" applyFont="1" applyFill="1" applyBorder="1" applyAlignment="1">
      <alignment horizontal="left" vertical="top" wrapText="1"/>
    </xf>
    <xf numFmtId="0" fontId="8" fillId="0" borderId="3" xfId="26" applyFont="1" applyFill="1" applyBorder="1" applyAlignment="1">
      <alignment horizontal="left" vertical="center" wrapText="1"/>
    </xf>
    <xf numFmtId="0" fontId="12" fillId="0" borderId="3" xfId="26" applyFont="1" applyFill="1" applyBorder="1" applyAlignment="1">
      <alignment horizontal="center" vertical="center" wrapText="1"/>
    </xf>
    <xf numFmtId="49" fontId="12" fillId="0" borderId="3" xfId="26" applyNumberFormat="1" applyFont="1" applyFill="1" applyBorder="1" applyAlignment="1">
      <alignment horizontal="center" vertical="center" wrapText="1"/>
    </xf>
    <xf numFmtId="49" fontId="11" fillId="0" borderId="3" xfId="26" applyNumberFormat="1" applyFont="1" applyFill="1" applyBorder="1" applyAlignment="1">
      <alignment horizontal="left" vertical="center" wrapText="1"/>
    </xf>
    <xf numFmtId="49" fontId="11" fillId="0" borderId="3" xfId="26" applyNumberFormat="1" applyFont="1" applyFill="1" applyBorder="1" applyAlignment="1">
      <alignment horizontal="left" vertical="top" wrapText="1"/>
    </xf>
    <xf numFmtId="49" fontId="8" fillId="0" borderId="3" xfId="26" applyNumberFormat="1" applyFont="1" applyFill="1" applyBorder="1" applyAlignment="1">
      <alignment horizontal="left" vertical="center" wrapText="1" indent="3"/>
    </xf>
    <xf numFmtId="0" fontId="8" fillId="0" borderId="3" xfId="26" applyFont="1" applyFill="1" applyBorder="1" applyAlignment="1">
      <alignment horizontal="left" vertical="center" wrapText="1" indent="3"/>
    </xf>
    <xf numFmtId="49" fontId="8" fillId="0" borderId="4" xfId="26" applyNumberFormat="1" applyFont="1" applyFill="1" applyBorder="1" applyAlignment="1">
      <alignment horizontal="center" vertical="center" textRotation="90" wrapText="1"/>
    </xf>
    <xf numFmtId="49" fontId="8" fillId="0" borderId="16" xfId="26" applyNumberFormat="1" applyFont="1" applyFill="1" applyBorder="1" applyAlignment="1">
      <alignment horizontal="center" vertical="center" textRotation="90" wrapText="1"/>
    </xf>
    <xf numFmtId="49" fontId="8" fillId="0" borderId="5" xfId="26" applyNumberFormat="1" applyFont="1" applyFill="1" applyBorder="1" applyAlignment="1">
      <alignment horizontal="center" vertical="center" textRotation="90" wrapText="1"/>
    </xf>
    <xf numFmtId="49" fontId="8" fillId="0" borderId="4" xfId="26" applyNumberFormat="1" applyFont="1" applyFill="1" applyBorder="1" applyAlignment="1">
      <alignment horizontal="center" vertical="center" wrapText="1"/>
    </xf>
    <xf numFmtId="49" fontId="8" fillId="0" borderId="16" xfId="26" applyNumberFormat="1" applyFont="1" applyFill="1" applyBorder="1" applyAlignment="1">
      <alignment horizontal="center" vertical="center" wrapText="1"/>
    </xf>
    <xf numFmtId="49" fontId="8" fillId="0" borderId="5" xfId="26" applyNumberFormat="1" applyFont="1" applyFill="1" applyBorder="1" applyAlignment="1">
      <alignment horizontal="center" vertical="center" wrapText="1"/>
    </xf>
    <xf numFmtId="49" fontId="12" fillId="0" borderId="3" xfId="26" applyNumberFormat="1" applyFont="1" applyFill="1" applyBorder="1" applyAlignment="1">
      <alignment horizontal="left" vertical="center" wrapText="1"/>
    </xf>
    <xf numFmtId="49" fontId="8" fillId="0" borderId="9" xfId="26" applyNumberFormat="1" applyFont="1" applyFill="1" applyBorder="1" applyAlignment="1">
      <alignment horizontal="center" vertical="center" wrapText="1"/>
    </xf>
    <xf numFmtId="49" fontId="8" fillId="0" borderId="8" xfId="26" applyNumberFormat="1" applyFont="1" applyFill="1" applyBorder="1" applyAlignment="1">
      <alignment horizontal="center" vertical="center" wrapText="1"/>
    </xf>
    <xf numFmtId="49" fontId="8" fillId="0" borderId="10" xfId="26" applyNumberFormat="1" applyFont="1" applyFill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</xf>
    <xf numFmtId="49" fontId="8" fillId="0" borderId="0" xfId="26" applyNumberFormat="1" applyFont="1" applyFill="1" applyBorder="1" applyAlignment="1">
      <alignment horizontal="center" vertical="center" wrapText="1"/>
    </xf>
    <xf numFmtId="49" fontId="8" fillId="0" borderId="12" xfId="26" applyNumberFormat="1" applyFont="1" applyFill="1" applyBorder="1" applyAlignment="1">
      <alignment horizontal="center" vertical="center" wrapText="1"/>
    </xf>
    <xf numFmtId="49" fontId="8" fillId="0" borderId="13" xfId="26" applyNumberFormat="1" applyFont="1" applyFill="1" applyBorder="1" applyAlignment="1">
      <alignment horizontal="center" vertical="center" wrapText="1"/>
    </xf>
    <xf numFmtId="49" fontId="8" fillId="0" borderId="14" xfId="26" applyNumberFormat="1" applyFont="1" applyFill="1" applyBorder="1" applyAlignment="1">
      <alignment horizontal="center" vertical="center" wrapText="1"/>
    </xf>
    <xf numFmtId="49" fontId="8" fillId="0" borderId="15" xfId="26" applyNumberFormat="1" applyFont="1" applyFill="1" applyBorder="1" applyAlignment="1">
      <alignment horizontal="center" vertical="center" wrapText="1"/>
    </xf>
    <xf numFmtId="49" fontId="8" fillId="0" borderId="3" xfId="26" applyNumberFormat="1" applyFont="1" applyFill="1" applyBorder="1" applyAlignment="1">
      <alignment horizontal="left" vertical="top" wrapText="1"/>
    </xf>
    <xf numFmtId="4" fontId="0" fillId="0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0" xfId="26" applyFont="1" applyFill="1" applyAlignment="1">
      <alignment horizontal="left" vertical="top" wrapText="1"/>
    </xf>
    <xf numFmtId="0" fontId="8" fillId="0" borderId="0" xfId="26" applyFont="1" applyFill="1" applyAlignment="1">
      <alignment horizontal="left" wrapText="1"/>
    </xf>
    <xf numFmtId="0" fontId="15" fillId="0" borderId="0" xfId="26" applyFont="1" applyFill="1" applyAlignment="1">
      <alignment horizontal="left"/>
    </xf>
    <xf numFmtId="0" fontId="15" fillId="0" borderId="0" xfId="26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5" fillId="0" borderId="0" xfId="26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4" fillId="0" borderId="0" xfId="26" applyFont="1" applyFill="1" applyAlignment="1">
      <alignment horizontal="center"/>
    </xf>
    <xf numFmtId="0" fontId="10" fillId="0" borderId="9" xfId="26" applyNumberFormat="1" applyFont="1" applyFill="1" applyBorder="1" applyAlignment="1">
      <alignment horizontal="center" vertical="center" wrapText="1"/>
    </xf>
    <xf numFmtId="0" fontId="10" fillId="0" borderId="8" xfId="26" applyNumberFormat="1" applyFont="1" applyFill="1" applyBorder="1" applyAlignment="1">
      <alignment horizontal="center" vertical="center" wrapText="1"/>
    </xf>
    <xf numFmtId="0" fontId="10" fillId="0" borderId="10" xfId="26" applyNumberFormat="1" applyFont="1" applyFill="1" applyBorder="1" applyAlignment="1">
      <alignment horizontal="center" vertical="center" wrapText="1"/>
    </xf>
    <xf numFmtId="0" fontId="10" fillId="0" borderId="11" xfId="26" applyNumberFormat="1" applyFont="1" applyFill="1" applyBorder="1" applyAlignment="1">
      <alignment horizontal="center" vertical="center" wrapText="1"/>
    </xf>
    <xf numFmtId="0" fontId="10" fillId="0" borderId="0" xfId="26" applyNumberFormat="1" applyFont="1" applyFill="1" applyBorder="1" applyAlignment="1">
      <alignment horizontal="center" vertical="center" wrapText="1"/>
    </xf>
    <xf numFmtId="0" fontId="10" fillId="0" borderId="12" xfId="26" applyNumberFormat="1" applyFont="1" applyFill="1" applyBorder="1" applyAlignment="1">
      <alignment horizontal="center" vertical="center" wrapText="1"/>
    </xf>
    <xf numFmtId="0" fontId="10" fillId="0" borderId="13" xfId="26" applyNumberFormat="1" applyFont="1" applyFill="1" applyBorder="1" applyAlignment="1">
      <alignment horizontal="center" vertical="center" wrapText="1"/>
    </xf>
    <xf numFmtId="0" fontId="10" fillId="0" borderId="14" xfId="26" applyNumberFormat="1" applyFont="1" applyFill="1" applyBorder="1" applyAlignment="1">
      <alignment horizontal="center" vertical="center" wrapText="1"/>
    </xf>
    <xf numFmtId="0" fontId="10" fillId="0" borderId="15" xfId="26" applyNumberFormat="1" applyFont="1" applyFill="1" applyBorder="1" applyAlignment="1">
      <alignment horizontal="center" vertical="center" wrapText="1"/>
    </xf>
    <xf numFmtId="0" fontId="11" fillId="0" borderId="2" xfId="26" applyNumberFormat="1" applyFont="1" applyFill="1" applyBorder="1" applyAlignment="1">
      <alignment horizontal="center" vertical="center" wrapText="1"/>
    </xf>
    <xf numFmtId="0" fontId="11" fillId="0" borderId="7" xfId="26" applyNumberFormat="1" applyFont="1" applyFill="1" applyBorder="1" applyAlignment="1">
      <alignment horizontal="center" vertical="center" wrapText="1"/>
    </xf>
    <xf numFmtId="0" fontId="11" fillId="0" borderId="4" xfId="26" applyNumberFormat="1" applyFont="1" applyFill="1" applyBorder="1" applyAlignment="1">
      <alignment horizontal="center" vertical="center" wrapText="1"/>
    </xf>
    <xf numFmtId="0" fontId="11" fillId="0" borderId="5" xfId="26" applyNumberFormat="1" applyFont="1" applyFill="1" applyBorder="1" applyAlignment="1">
      <alignment horizontal="center" vertical="center" wrapText="1"/>
    </xf>
    <xf numFmtId="0" fontId="11" fillId="0" borderId="9" xfId="26" applyNumberFormat="1" applyFont="1" applyFill="1" applyBorder="1" applyAlignment="1">
      <alignment horizontal="center" vertical="center" wrapText="1"/>
    </xf>
    <xf numFmtId="0" fontId="11" fillId="0" borderId="11" xfId="26" applyNumberFormat="1" applyFont="1" applyFill="1" applyBorder="1" applyAlignment="1">
      <alignment horizontal="center" vertical="center" wrapText="1"/>
    </xf>
    <xf numFmtId="0" fontId="11" fillId="0" borderId="13" xfId="26" applyNumberFormat="1" applyFont="1" applyFill="1" applyBorder="1" applyAlignment="1">
      <alignment horizontal="center" vertical="center" wrapText="1"/>
    </xf>
    <xf numFmtId="0" fontId="10" fillId="0" borderId="4" xfId="26" applyNumberFormat="1" applyFont="1" applyFill="1" applyBorder="1" applyAlignment="1">
      <alignment horizontal="center" vertical="center" wrapText="1"/>
    </xf>
    <xf numFmtId="0" fontId="10" fillId="0" borderId="16" xfId="26" applyNumberFormat="1" applyFont="1" applyFill="1" applyBorder="1" applyAlignment="1">
      <alignment horizontal="center" vertical="center" wrapText="1"/>
    </xf>
    <xf numFmtId="0" fontId="10" fillId="0" borderId="5" xfId="2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3" borderId="26" xfId="96" applyFont="1" applyAlignment="1">
      <alignment horizontal="center" vertical="center"/>
    </xf>
    <xf numFmtId="0" fontId="31" fillId="3" borderId="37" xfId="96" applyFont="1" applyBorder="1" applyAlignment="1">
      <alignment horizontal="center" vertical="center" wrapText="1"/>
    </xf>
    <xf numFmtId="0" fontId="0" fillId="3" borderId="38" xfId="96" applyFont="1" applyBorder="1" applyAlignment="1">
      <alignment horizontal="center" vertical="center" wrapText="1"/>
    </xf>
    <xf numFmtId="0" fontId="0" fillId="3" borderId="39" xfId="96" applyFont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1" fillId="3" borderId="3" xfId="96" applyFont="1" applyBorder="1" applyAlignment="1">
      <alignment horizontal="center" vertical="center"/>
    </xf>
    <xf numFmtId="0" fontId="31" fillId="3" borderId="3" xfId="96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69" fontId="11" fillId="6" borderId="3" xfId="26" applyNumberFormat="1" applyFont="1" applyFill="1" applyBorder="1" applyAlignment="1" applyProtection="1">
      <alignment horizontal="center" vertical="center"/>
    </xf>
    <xf numFmtId="4" fontId="11" fillId="6" borderId="3" xfId="26" applyNumberFormat="1" applyFont="1" applyFill="1" applyBorder="1" applyAlignment="1" applyProtection="1">
      <alignment horizontal="center" vertical="center"/>
      <protection locked="0"/>
    </xf>
    <xf numFmtId="169" fontId="11" fillId="6" borderId="3" xfId="26" applyNumberFormat="1" applyFont="1" applyFill="1" applyBorder="1" applyAlignment="1" applyProtection="1">
      <alignment horizontal="center" vertical="center"/>
      <protection locked="0"/>
    </xf>
    <xf numFmtId="169" fontId="11" fillId="6" borderId="3" xfId="26" applyNumberFormat="1" applyFont="1" applyFill="1" applyBorder="1" applyAlignment="1">
      <alignment horizontal="center" vertical="center"/>
    </xf>
    <xf numFmtId="4" fontId="11" fillId="6" borderId="3" xfId="26" applyNumberFormat="1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8" fillId="6" borderId="3" xfId="27" applyNumberFormat="1" applyFont="1" applyFill="1" applyBorder="1" applyAlignment="1">
      <alignment horizontal="center" vertical="center" wrapText="1"/>
    </xf>
    <xf numFmtId="4" fontId="8" fillId="6" borderId="3" xfId="26" applyNumberFormat="1" applyFont="1" applyFill="1" applyBorder="1" applyAlignment="1">
      <alignment horizontal="center" vertical="center"/>
    </xf>
    <xf numFmtId="169" fontId="8" fillId="6" borderId="3" xfId="26" applyNumberFormat="1" applyFont="1" applyFill="1" applyBorder="1" applyAlignment="1" applyProtection="1">
      <alignment horizontal="center" vertical="center"/>
      <protection locked="0"/>
    </xf>
    <xf numFmtId="2" fontId="11" fillId="6" borderId="3" xfId="26" applyNumberFormat="1" applyFont="1" applyFill="1" applyBorder="1" applyAlignment="1">
      <alignment horizontal="center" vertical="center"/>
    </xf>
    <xf numFmtId="4" fontId="8" fillId="6" borderId="3" xfId="65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169" fontId="11" fillId="7" borderId="3" xfId="26" applyNumberFormat="1" applyFont="1" applyFill="1" applyBorder="1" applyAlignment="1" applyProtection="1">
      <alignment horizontal="center" vertical="center"/>
    </xf>
    <xf numFmtId="4" fontId="11" fillId="7" borderId="3" xfId="26" applyNumberFormat="1" applyFont="1" applyFill="1" applyBorder="1" applyAlignment="1" applyProtection="1">
      <alignment horizontal="center" vertical="center"/>
      <protection locked="0"/>
    </xf>
    <xf numFmtId="169" fontId="11" fillId="7" borderId="3" xfId="26" applyNumberFormat="1" applyFont="1" applyFill="1" applyBorder="1" applyAlignment="1" applyProtection="1">
      <alignment horizontal="center" vertical="center"/>
      <protection locked="0"/>
    </xf>
    <xf numFmtId="169" fontId="11" fillId="7" borderId="3" xfId="26" applyNumberFormat="1" applyFont="1" applyFill="1" applyBorder="1" applyAlignment="1">
      <alignment horizontal="center" vertical="center"/>
    </xf>
    <xf numFmtId="4" fontId="11" fillId="7" borderId="3" xfId="26" applyNumberFormat="1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8" fillId="7" borderId="3" xfId="27" applyNumberFormat="1" applyFont="1" applyFill="1" applyBorder="1" applyAlignment="1">
      <alignment horizontal="center" vertical="center" wrapText="1"/>
    </xf>
    <xf numFmtId="4" fontId="8" fillId="7" borderId="3" xfId="26" applyNumberFormat="1" applyFont="1" applyFill="1" applyBorder="1" applyAlignment="1">
      <alignment horizontal="center" vertical="center"/>
    </xf>
    <xf numFmtId="169" fontId="8" fillId="7" borderId="3" xfId="26" applyNumberFormat="1" applyFont="1" applyFill="1" applyBorder="1" applyAlignment="1" applyProtection="1">
      <alignment horizontal="center" vertical="center"/>
      <protection locked="0"/>
    </xf>
    <xf numFmtId="2" fontId="11" fillId="7" borderId="3" xfId="26" applyNumberFormat="1" applyFont="1" applyFill="1" applyBorder="1" applyAlignment="1">
      <alignment horizontal="center" vertical="center"/>
    </xf>
    <xf numFmtId="4" fontId="8" fillId="7" borderId="3" xfId="65" applyNumberFormat="1" applyFont="1" applyFill="1" applyBorder="1" applyAlignment="1">
      <alignment horizontal="center" vertical="center"/>
    </xf>
  </cellXfs>
  <cellStyles count="147">
    <cellStyle name="Comma" xfId="1"/>
    <cellStyle name="Comma [0]" xfId="2"/>
    <cellStyle name="Comma 2" xfId="3"/>
    <cellStyle name="Comma_Forma" xfId="4"/>
    <cellStyle name="Currency" xfId="5"/>
    <cellStyle name="Currency [0]" xfId="6"/>
    <cellStyle name="Currency 2" xfId="7"/>
    <cellStyle name="Currency_Forma" xfId="8"/>
    <cellStyle name="Date" xfId="9"/>
    <cellStyle name="Fixed" xfId="10"/>
    <cellStyle name="Heading1" xfId="11"/>
    <cellStyle name="Heading2" xfId="12"/>
    <cellStyle name="Îáű÷íűé_ÂŰŐÎÄ" xfId="13"/>
    <cellStyle name="Normal" xfId="14"/>
    <cellStyle name="Normal 2" xfId="15"/>
    <cellStyle name="Normal 3" xfId="16"/>
    <cellStyle name="Normal 3 2" xfId="17"/>
    <cellStyle name="Normal_Forma" xfId="18"/>
    <cellStyle name="Percent" xfId="19"/>
    <cellStyle name="Percent 2" xfId="20"/>
    <cellStyle name="Total" xfId="21"/>
    <cellStyle name="Гиперссылка 2" xfId="22"/>
    <cellStyle name="Гиперссылка 3" xfId="23"/>
    <cellStyle name="Обычный" xfId="0" builtinId="0"/>
    <cellStyle name="Обычный 2" xfId="24"/>
    <cellStyle name="Обычный 2 2" xfId="25"/>
    <cellStyle name="Обычный 2 2 2" xfId="26"/>
    <cellStyle name="Обычный 2 3" xfId="27"/>
    <cellStyle name="Обычный 2 4" xfId="28"/>
    <cellStyle name="Обычный 2 5" xfId="29"/>
    <cellStyle name="Обычный 2_Таблицы" xfId="30"/>
    <cellStyle name="Обычный 3" xfId="31"/>
    <cellStyle name="Обычный 3 2" xfId="32"/>
    <cellStyle name="Обычный 3 2 2" xfId="33"/>
    <cellStyle name="Обычный 3 2 2 2" xfId="34"/>
    <cellStyle name="Обычный 4" xfId="35"/>
    <cellStyle name="Обычный 5" xfId="36"/>
    <cellStyle name="Обычный 6" xfId="37"/>
    <cellStyle name="Примечание" xfId="96" builtinId="10"/>
    <cellStyle name="Процентный 2" xfId="38"/>
    <cellStyle name="Процентный 2 10" xfId="39"/>
    <cellStyle name="Процентный 2 10 2" xfId="40"/>
    <cellStyle name="Процентный 2 10 2 2" xfId="100"/>
    <cellStyle name="Процентный 2 10 3" xfId="99"/>
    <cellStyle name="Процентный 2 11" xfId="41"/>
    <cellStyle name="Процентный 2 11 2" xfId="42"/>
    <cellStyle name="Процентный 2 11 2 2" xfId="102"/>
    <cellStyle name="Процентный 2 11 3" xfId="101"/>
    <cellStyle name="Процентный 2 2" xfId="43"/>
    <cellStyle name="Процентный 2 2 2" xfId="44"/>
    <cellStyle name="Процентный 2 2 2 2" xfId="45"/>
    <cellStyle name="Процентный 2 2 2 2 2" xfId="105"/>
    <cellStyle name="Процентный 2 2 2 3" xfId="104"/>
    <cellStyle name="Процентный 2 2 3" xfId="46"/>
    <cellStyle name="Процентный 2 2 3 2" xfId="106"/>
    <cellStyle name="Процентный 2 2 4" xfId="103"/>
    <cellStyle name="Процентный 2 3" xfId="47"/>
    <cellStyle name="Процентный 2 3 2" xfId="48"/>
    <cellStyle name="Процентный 2 3 2 2" xfId="108"/>
    <cellStyle name="Процентный 2 3 3" xfId="107"/>
    <cellStyle name="Процентный 2 4" xfId="49"/>
    <cellStyle name="Процентный 2 4 2" xfId="50"/>
    <cellStyle name="Процентный 2 4 2 2" xfId="110"/>
    <cellStyle name="Процентный 2 4 3" xfId="109"/>
    <cellStyle name="Процентный 2 5" xfId="51"/>
    <cellStyle name="Процентный 2 5 2" xfId="52"/>
    <cellStyle name="Процентный 2 5 2 2" xfId="112"/>
    <cellStyle name="Процентный 2 5 3" xfId="111"/>
    <cellStyle name="Процентный 2 6" xfId="53"/>
    <cellStyle name="Процентный 2 6 2" xfId="54"/>
    <cellStyle name="Процентный 2 6 2 2" xfId="114"/>
    <cellStyle name="Процентный 2 6 3" xfId="113"/>
    <cellStyle name="Процентный 2 7" xfId="55"/>
    <cellStyle name="Процентный 2 7 2" xfId="56"/>
    <cellStyle name="Процентный 2 7 2 2" xfId="116"/>
    <cellStyle name="Процентный 2 7 3" xfId="115"/>
    <cellStyle name="Процентный 2 8" xfId="57"/>
    <cellStyle name="Процентный 2 8 2" xfId="58"/>
    <cellStyle name="Процентный 2 8 2 2" xfId="118"/>
    <cellStyle name="Процентный 2 8 3" xfId="117"/>
    <cellStyle name="Процентный 2 9" xfId="59"/>
    <cellStyle name="Процентный 2 9 2" xfId="60"/>
    <cellStyle name="Процентный 2 9 2 2" xfId="120"/>
    <cellStyle name="Процентный 2 9 3" xfId="119"/>
    <cellStyle name="Процентный 3" xfId="61"/>
    <cellStyle name="Процентный 3 2" xfId="62"/>
    <cellStyle name="Процентный 3 2 2" xfId="122"/>
    <cellStyle name="Процентный 3 3" xfId="121"/>
    <cellStyle name="Тысячи [0]_0203000" xfId="63"/>
    <cellStyle name="Тысячи_0203000" xfId="64"/>
    <cellStyle name="Финансовый" xfId="65" builtinId="3"/>
    <cellStyle name="Финансовый 2" xfId="66"/>
    <cellStyle name="Финансовый 2 10" xfId="67"/>
    <cellStyle name="Финансовый 2 10 2" xfId="68"/>
    <cellStyle name="Финансовый 2 10 2 2" xfId="123"/>
    <cellStyle name="Финансовый 2 10 3" xfId="98"/>
    <cellStyle name="Финансовый 2 11" xfId="69"/>
    <cellStyle name="Финансовый 2 11 2" xfId="70"/>
    <cellStyle name="Финансовый 2 11 2 2" xfId="125"/>
    <cellStyle name="Финансовый 2 11 3" xfId="124"/>
    <cellStyle name="Финансовый 2 12" xfId="71"/>
    <cellStyle name="Финансовый 2 12 2" xfId="126"/>
    <cellStyle name="Финансовый 2 13" xfId="72"/>
    <cellStyle name="Финансовый 2 13 2" xfId="127"/>
    <cellStyle name="Финансовый 2 14" xfId="73"/>
    <cellStyle name="Финансовый 2 2" xfId="74"/>
    <cellStyle name="Финансовый 2 2 2" xfId="75"/>
    <cellStyle name="Финансовый 2 2 2 2" xfId="129"/>
    <cellStyle name="Финансовый 2 2 3" xfId="128"/>
    <cellStyle name="Финансовый 2 3" xfId="76"/>
    <cellStyle name="Финансовый 2 3 2" xfId="77"/>
    <cellStyle name="Финансовый 2 3 2 2" xfId="131"/>
    <cellStyle name="Финансовый 2 3 3" xfId="130"/>
    <cellStyle name="Финансовый 2 4" xfId="78"/>
    <cellStyle name="Финансовый 2 4 2" xfId="79"/>
    <cellStyle name="Финансовый 2 4 2 2" xfId="133"/>
    <cellStyle name="Финансовый 2 4 3" xfId="132"/>
    <cellStyle name="Финансовый 2 5" xfId="80"/>
    <cellStyle name="Финансовый 2 5 2" xfId="81"/>
    <cellStyle name="Финансовый 2 5 2 2" xfId="135"/>
    <cellStyle name="Финансовый 2 5 3" xfId="134"/>
    <cellStyle name="Финансовый 2 6" xfId="82"/>
    <cellStyle name="Финансовый 2 6 2" xfId="83"/>
    <cellStyle name="Финансовый 2 6 2 2" xfId="137"/>
    <cellStyle name="Финансовый 2 6 3" xfId="136"/>
    <cellStyle name="Финансовый 2 7" xfId="84"/>
    <cellStyle name="Финансовый 2 7 2" xfId="85"/>
    <cellStyle name="Финансовый 2 7 2 2" xfId="139"/>
    <cellStyle name="Финансовый 2 7 3" xfId="138"/>
    <cellStyle name="Финансовый 2 8" xfId="86"/>
    <cellStyle name="Финансовый 2 8 2" xfId="87"/>
    <cellStyle name="Финансовый 2 8 2 2" xfId="141"/>
    <cellStyle name="Финансовый 2 8 3" xfId="140"/>
    <cellStyle name="Финансовый 2 9" xfId="88"/>
    <cellStyle name="Финансовый 2 9 2" xfId="89"/>
    <cellStyle name="Финансовый 2 9 2 2" xfId="143"/>
    <cellStyle name="Финансовый 2 9 3" xfId="142"/>
    <cellStyle name="Финансовый 3" xfId="90"/>
    <cellStyle name="Финансовый 4" xfId="91"/>
    <cellStyle name="Финансовый 4 2" xfId="92"/>
    <cellStyle name="Финансовый 4 2 2" xfId="145"/>
    <cellStyle name="Финансовый 4 3" xfId="144"/>
    <cellStyle name="Финансовый 5" xfId="93"/>
    <cellStyle name="Финансовый 6" xfId="94"/>
    <cellStyle name="Финансовый 6 2" xfId="146"/>
    <cellStyle name="Финансовый 7" xfId="95"/>
    <cellStyle name="Финансовый 8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U62"/>
  <sheetViews>
    <sheetView view="pageBreakPreview" topLeftCell="A54" zoomScale="55" zoomScaleNormal="71" zoomScaleSheetLayoutView="55" workbookViewId="0">
      <selection activeCell="A22" sqref="A22:F22"/>
    </sheetView>
  </sheetViews>
  <sheetFormatPr defaultColWidth="0.7265625" defaultRowHeight="18" x14ac:dyDescent="0.4"/>
  <cols>
    <col min="1" max="1" width="124.1796875" style="166" customWidth="1"/>
    <col min="2" max="2" width="17.7265625" style="166" customWidth="1"/>
    <col min="3" max="3" width="20" style="166" customWidth="1"/>
    <col min="4" max="4" width="23.26953125" style="166" customWidth="1"/>
    <col min="5" max="5" width="20" style="166" customWidth="1"/>
    <col min="6" max="6" width="24" style="166" customWidth="1"/>
    <col min="7" max="7" width="20" style="166" customWidth="1"/>
    <col min="8" max="8" width="26" style="166" customWidth="1"/>
    <col min="9" max="9" width="17.7265625" style="166" customWidth="1"/>
    <col min="10" max="10" width="14.54296875" style="166" customWidth="1"/>
    <col min="11" max="11" width="18" style="166" customWidth="1"/>
    <col min="12" max="12" width="16.453125" style="166" customWidth="1"/>
    <col min="13" max="13" width="18.54296875" style="166" customWidth="1"/>
    <col min="14" max="14" width="19.26953125" style="166" customWidth="1"/>
    <col min="15" max="16" width="16.453125" style="166" customWidth="1"/>
    <col min="17" max="24" width="0.7265625" style="166"/>
    <col min="25" max="25" width="32.26953125" style="166" customWidth="1"/>
    <col min="26" max="26" width="0.7265625" style="166"/>
    <col min="27" max="27" width="21.26953125" style="166" customWidth="1"/>
    <col min="28" max="16384" width="0.7265625" style="166"/>
  </cols>
  <sheetData>
    <row r="1" spans="1:73" ht="139.9" customHeight="1" x14ac:dyDescent="0.4">
      <c r="B1" s="167"/>
      <c r="D1" s="271" t="s">
        <v>302</v>
      </c>
      <c r="E1" s="271"/>
      <c r="F1" s="271"/>
      <c r="G1" s="271"/>
      <c r="H1" s="271"/>
      <c r="I1" s="225"/>
      <c r="J1" s="225"/>
      <c r="K1" s="225"/>
      <c r="L1" s="225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</row>
    <row r="2" spans="1:73" ht="25" x14ac:dyDescent="0.5">
      <c r="A2" s="273" t="s">
        <v>243</v>
      </c>
      <c r="B2" s="273"/>
      <c r="C2" s="273"/>
      <c r="D2" s="273"/>
      <c r="E2" s="273"/>
      <c r="F2" s="273"/>
      <c r="G2" s="273"/>
      <c r="H2" s="273"/>
      <c r="AA2" s="176"/>
    </row>
    <row r="3" spans="1:73" ht="25" x14ac:dyDescent="0.5">
      <c r="A3" s="273" t="s">
        <v>2</v>
      </c>
      <c r="B3" s="273"/>
      <c r="C3" s="273"/>
      <c r="D3" s="273"/>
      <c r="E3" s="273"/>
      <c r="F3" s="273"/>
      <c r="G3" s="273"/>
      <c r="H3" s="273"/>
      <c r="AA3" s="176"/>
    </row>
    <row r="4" spans="1:73" ht="25" x14ac:dyDescent="0.5">
      <c r="A4" s="273" t="s">
        <v>223</v>
      </c>
      <c r="B4" s="273"/>
      <c r="C4" s="273"/>
      <c r="D4" s="273"/>
      <c r="E4" s="273"/>
      <c r="F4" s="273"/>
      <c r="G4" s="273"/>
      <c r="H4" s="273"/>
      <c r="Y4" s="176"/>
    </row>
    <row r="5" spans="1:73" ht="4.9000000000000004" customHeight="1" x14ac:dyDescent="0.4">
      <c r="A5" s="219"/>
      <c r="B5" s="255"/>
      <c r="C5" s="220"/>
      <c r="D5" s="255"/>
      <c r="E5" s="221"/>
      <c r="G5" s="191"/>
      <c r="H5" s="176"/>
      <c r="Y5" s="176"/>
    </row>
    <row r="6" spans="1:73" x14ac:dyDescent="0.35">
      <c r="C6" s="176"/>
      <c r="E6" s="176"/>
      <c r="G6" s="176"/>
    </row>
    <row r="7" spans="1:73" ht="19.5" customHeight="1" x14ac:dyDescent="0.4">
      <c r="A7" s="278" t="s">
        <v>3</v>
      </c>
      <c r="B7" s="269"/>
      <c r="C7" s="274" t="s">
        <v>1</v>
      </c>
      <c r="D7" s="275"/>
      <c r="E7" s="269" t="s">
        <v>242</v>
      </c>
      <c r="F7" s="269"/>
      <c r="G7" s="269"/>
      <c r="H7" s="269"/>
    </row>
    <row r="8" spans="1:73" x14ac:dyDescent="0.4">
      <c r="A8" s="278"/>
      <c r="B8" s="269"/>
      <c r="C8" s="276"/>
      <c r="D8" s="277"/>
      <c r="E8" s="269" t="s">
        <v>118</v>
      </c>
      <c r="F8" s="269"/>
      <c r="G8" s="269" t="s">
        <v>220</v>
      </c>
      <c r="H8" s="269"/>
    </row>
    <row r="9" spans="1:73" ht="70.900000000000006" customHeight="1" x14ac:dyDescent="0.4">
      <c r="A9" s="278"/>
      <c r="B9" s="269"/>
      <c r="C9" s="256" t="s">
        <v>5</v>
      </c>
      <c r="D9" s="256" t="s">
        <v>6</v>
      </c>
      <c r="E9" s="256" t="s">
        <v>5</v>
      </c>
      <c r="F9" s="256" t="s">
        <v>6</v>
      </c>
      <c r="G9" s="256" t="s">
        <v>5</v>
      </c>
      <c r="H9" s="256" t="s">
        <v>6</v>
      </c>
    </row>
    <row r="10" spans="1:73" x14ac:dyDescent="0.35">
      <c r="A10" s="169"/>
      <c r="B10" s="169">
        <v>2</v>
      </c>
      <c r="C10" s="170"/>
      <c r="D10" s="170"/>
      <c r="E10" s="170"/>
      <c r="F10" s="170"/>
      <c r="G10" s="170"/>
      <c r="H10" s="170"/>
    </row>
    <row r="11" spans="1:73" ht="54.65" customHeight="1" x14ac:dyDescent="0.4">
      <c r="A11" s="171" t="s">
        <v>295</v>
      </c>
      <c r="B11" s="172" t="s">
        <v>7</v>
      </c>
      <c r="C11" s="173">
        <f t="shared" ref="C11:H11" si="0">C12+C13</f>
        <v>46928550.259999998</v>
      </c>
      <c r="D11" s="173">
        <f t="shared" si="0"/>
        <v>48516.930441812867</v>
      </c>
      <c r="E11" s="173">
        <f t="shared" si="0"/>
        <v>48294751.140000001</v>
      </c>
      <c r="F11" s="173">
        <f t="shared" si="0"/>
        <v>49909.884040164136</v>
      </c>
      <c r="G11" s="173">
        <f t="shared" si="0"/>
        <v>50376148.239999995</v>
      </c>
      <c r="H11" s="173">
        <f t="shared" si="0"/>
        <v>52048.286829340483</v>
      </c>
    </row>
    <row r="12" spans="1:73" ht="32.65" customHeight="1" x14ac:dyDescent="0.4">
      <c r="A12" s="171" t="s">
        <v>8</v>
      </c>
      <c r="B12" s="172" t="s">
        <v>9</v>
      </c>
      <c r="C12" s="174">
        <f>прил7!K108</f>
        <v>9573408.8999999985</v>
      </c>
      <c r="D12" s="175">
        <f>C12/прил7!N11*1000</f>
        <v>9866.1371904403641</v>
      </c>
      <c r="E12" s="174">
        <f>прил8!K108</f>
        <v>8981426</v>
      </c>
      <c r="F12" s="175">
        <f>E12/прил8!N11*1000</f>
        <v>9232.9879907972627</v>
      </c>
      <c r="G12" s="174">
        <f>прил9!K108</f>
        <v>8957380.6999999993</v>
      </c>
      <c r="H12" s="175">
        <f>G12/прил9!N11*1000</f>
        <v>9192.9217408439017</v>
      </c>
      <c r="Y12" s="176"/>
    </row>
    <row r="13" spans="1:73" x14ac:dyDescent="0.4">
      <c r="A13" s="171" t="s">
        <v>304</v>
      </c>
      <c r="B13" s="172" t="s">
        <v>10</v>
      </c>
      <c r="C13" s="173">
        <f>C14+C18</f>
        <v>37355141.359999999</v>
      </c>
      <c r="D13" s="173">
        <f>C13/966478*1000</f>
        <v>38650.793251372503</v>
      </c>
      <c r="E13" s="173">
        <f>E14+E18</f>
        <v>39313325.140000001</v>
      </c>
      <c r="F13" s="173">
        <f>E13/966478*1000</f>
        <v>40676.896049366871</v>
      </c>
      <c r="G13" s="173">
        <f>G14+G18</f>
        <v>41418767.539999999</v>
      </c>
      <c r="H13" s="173">
        <f>G13/966478*1000</f>
        <v>42855.365088496583</v>
      </c>
      <c r="I13" s="176"/>
      <c r="J13" s="176"/>
      <c r="K13" s="176"/>
      <c r="L13" s="176"/>
      <c r="M13" s="176"/>
      <c r="N13" s="176"/>
      <c r="O13" s="176"/>
      <c r="P13" s="176"/>
      <c r="Q13" s="176"/>
      <c r="Y13" s="176"/>
      <c r="AA13" s="176"/>
    </row>
    <row r="14" spans="1:73" ht="54" x14ac:dyDescent="0.4">
      <c r="A14" s="177" t="s">
        <v>137</v>
      </c>
      <c r="B14" s="172" t="s">
        <v>11</v>
      </c>
      <c r="C14" s="173">
        <f>C15+C16+C17</f>
        <v>36785298.359999999</v>
      </c>
      <c r="D14" s="173">
        <f t="shared" ref="D14:D20" si="1">C14/966478*1000</f>
        <v>38061.185417567707</v>
      </c>
      <c r="E14" s="173">
        <f>E15+E16+E17</f>
        <v>38736987.840000004</v>
      </c>
      <c r="F14" s="173">
        <f t="shared" ref="F14:F20" si="2">E14/966478*1000</f>
        <v>40080.568662711412</v>
      </c>
      <c r="G14" s="173">
        <f>G15+G16+G17</f>
        <v>40785418.039999999</v>
      </c>
      <c r="H14" s="173">
        <f t="shared" ref="H14:H20" si="3">G14/966478*1000</f>
        <v>42200.048050757498</v>
      </c>
      <c r="I14" s="176"/>
      <c r="J14" s="176"/>
      <c r="K14" s="176"/>
      <c r="L14" s="176"/>
      <c r="M14" s="176"/>
      <c r="N14" s="176"/>
      <c r="O14" s="176"/>
      <c r="P14" s="176"/>
    </row>
    <row r="15" spans="1:73" x14ac:dyDescent="0.4">
      <c r="A15" s="178" t="s">
        <v>12</v>
      </c>
      <c r="B15" s="172" t="s">
        <v>13</v>
      </c>
      <c r="C15" s="173">
        <f>36194543.9-C27</f>
        <v>35952685</v>
      </c>
      <c r="D15" s="173">
        <f t="shared" si="1"/>
        <v>37199.693112517823</v>
      </c>
      <c r="E15" s="173">
        <f>38367493.4-E27</f>
        <v>38125634.5</v>
      </c>
      <c r="F15" s="173">
        <f t="shared" si="2"/>
        <v>39448.01071519476</v>
      </c>
      <c r="G15" s="173">
        <f>40452088.4-G27</f>
        <v>40210229.5</v>
      </c>
      <c r="H15" s="173">
        <f t="shared" si="3"/>
        <v>41604.90926849861</v>
      </c>
      <c r="I15" s="176"/>
      <c r="Y15" s="176"/>
    </row>
    <row r="16" spans="1:73" ht="76.150000000000006" customHeight="1" x14ac:dyDescent="0.4">
      <c r="A16" s="178" t="s">
        <v>296</v>
      </c>
      <c r="B16" s="172" t="s">
        <v>14</v>
      </c>
      <c r="C16" s="173">
        <v>818652.36</v>
      </c>
      <c r="D16" s="173">
        <f t="shared" si="1"/>
        <v>847.04707194576599</v>
      </c>
      <c r="E16" s="173">
        <v>601392.34</v>
      </c>
      <c r="F16" s="173">
        <f t="shared" si="2"/>
        <v>622.25145321466186</v>
      </c>
      <c r="G16" s="173">
        <v>565227.54</v>
      </c>
      <c r="H16" s="173">
        <f t="shared" si="3"/>
        <v>584.83228795689092</v>
      </c>
      <c r="J16" s="205"/>
      <c r="K16" s="176"/>
      <c r="L16" s="205"/>
      <c r="M16" s="176"/>
      <c r="N16" s="205"/>
      <c r="O16" s="176"/>
      <c r="P16" s="176"/>
    </row>
    <row r="17" spans="1:25" ht="23.65" customHeight="1" x14ac:dyDescent="0.4">
      <c r="A17" s="178" t="s">
        <v>17</v>
      </c>
      <c r="B17" s="172" t="s">
        <v>15</v>
      </c>
      <c r="C17" s="174">
        <v>13961</v>
      </c>
      <c r="D17" s="173">
        <f t="shared" si="1"/>
        <v>14.445233104116182</v>
      </c>
      <c r="E17" s="174">
        <v>9961</v>
      </c>
      <c r="F17" s="173">
        <f t="shared" si="2"/>
        <v>10.306494301991355</v>
      </c>
      <c r="G17" s="174">
        <v>9961</v>
      </c>
      <c r="H17" s="173">
        <f t="shared" si="3"/>
        <v>10.306494301991355</v>
      </c>
      <c r="J17" s="203"/>
      <c r="K17" s="203"/>
      <c r="L17" s="176"/>
      <c r="M17" s="203"/>
      <c r="N17" s="176"/>
      <c r="O17" s="176"/>
      <c r="P17" s="176"/>
    </row>
    <row r="18" spans="1:25" ht="61.5" customHeight="1" x14ac:dyDescent="0.4">
      <c r="A18" s="177" t="s">
        <v>134</v>
      </c>
      <c r="B18" s="172" t="s">
        <v>16</v>
      </c>
      <c r="C18" s="173">
        <f>C19+C20</f>
        <v>569843</v>
      </c>
      <c r="D18" s="173">
        <f t="shared" si="1"/>
        <v>589.60783380480461</v>
      </c>
      <c r="E18" s="173">
        <f>E19+E20</f>
        <v>576337.30000000005</v>
      </c>
      <c r="F18" s="173">
        <f t="shared" si="2"/>
        <v>596.32738665546447</v>
      </c>
      <c r="G18" s="173">
        <f>G19+G20</f>
        <v>633349.5</v>
      </c>
      <c r="H18" s="173">
        <f t="shared" si="3"/>
        <v>655.31703773908976</v>
      </c>
      <c r="I18" s="176"/>
      <c r="J18" s="176"/>
      <c r="K18" s="176"/>
      <c r="O18" s="205"/>
      <c r="P18" s="205"/>
      <c r="Y18" s="176"/>
    </row>
    <row r="19" spans="1:25" ht="55.15" customHeight="1" x14ac:dyDescent="0.4">
      <c r="A19" s="177" t="s">
        <v>135</v>
      </c>
      <c r="B19" s="172" t="s">
        <v>18</v>
      </c>
      <c r="C19" s="173"/>
      <c r="D19" s="173">
        <f t="shared" si="1"/>
        <v>0</v>
      </c>
      <c r="E19" s="173"/>
      <c r="F19" s="173">
        <f t="shared" si="2"/>
        <v>0</v>
      </c>
      <c r="G19" s="173"/>
      <c r="H19" s="173">
        <f t="shared" si="3"/>
        <v>0</v>
      </c>
      <c r="L19" s="190"/>
      <c r="N19" s="190"/>
      <c r="O19" s="190"/>
      <c r="P19" s="190"/>
    </row>
    <row r="20" spans="1:25" ht="76.900000000000006" customHeight="1" x14ac:dyDescent="0.4">
      <c r="A20" s="177" t="s">
        <v>161</v>
      </c>
      <c r="B20" s="172" t="s">
        <v>19</v>
      </c>
      <c r="C20" s="173">
        <f>ROUND(прил7!L82,2)</f>
        <v>569843</v>
      </c>
      <c r="D20" s="173">
        <f t="shared" si="1"/>
        <v>589.60783380480461</v>
      </c>
      <c r="E20" s="173">
        <f>ROUND(прил8!L82,2)</f>
        <v>576337.30000000005</v>
      </c>
      <c r="F20" s="173">
        <f t="shared" si="2"/>
        <v>596.32738665546447</v>
      </c>
      <c r="G20" s="173">
        <f>ROUND(прил9!L82,2)</f>
        <v>633349.5</v>
      </c>
      <c r="H20" s="173">
        <f t="shared" si="3"/>
        <v>655.31703773908976</v>
      </c>
      <c r="I20" s="176"/>
      <c r="J20" s="205"/>
      <c r="K20" s="191"/>
      <c r="L20" s="205"/>
      <c r="M20" s="191"/>
      <c r="N20" s="205"/>
      <c r="O20" s="205"/>
      <c r="P20" s="205"/>
      <c r="Y20" s="191"/>
    </row>
    <row r="21" spans="1:25" x14ac:dyDescent="0.4">
      <c r="A21" s="179"/>
      <c r="B21" s="180"/>
      <c r="C21" s="181"/>
      <c r="E21" s="181"/>
      <c r="G21" s="181"/>
      <c r="J21" s="176"/>
      <c r="K21" s="176"/>
      <c r="L21" s="176"/>
      <c r="M21" s="176"/>
      <c r="N21" s="176"/>
      <c r="O21" s="176"/>
      <c r="P21" s="176"/>
    </row>
    <row r="22" spans="1:25" ht="37.5" customHeight="1" x14ac:dyDescent="0.4">
      <c r="A22" s="281" t="s">
        <v>293</v>
      </c>
      <c r="B22" s="281"/>
      <c r="C22" s="281"/>
      <c r="D22" s="281"/>
      <c r="E22" s="281"/>
      <c r="F22" s="281"/>
      <c r="G22" s="259"/>
      <c r="H22" s="259"/>
      <c r="M22" s="191"/>
    </row>
    <row r="23" spans="1:25" ht="55.5" customHeight="1" x14ac:dyDescent="0.4">
      <c r="A23" s="281" t="s">
        <v>294</v>
      </c>
      <c r="B23" s="281"/>
      <c r="C23" s="281"/>
      <c r="D23" s="281"/>
      <c r="E23" s="281"/>
      <c r="F23" s="281"/>
      <c r="G23" s="259"/>
      <c r="H23" s="259"/>
    </row>
    <row r="24" spans="1:25" s="194" customFormat="1" ht="9" hidden="1" customHeight="1" x14ac:dyDescent="0.3">
      <c r="A24" s="222"/>
      <c r="B24" s="222"/>
      <c r="C24" s="215"/>
      <c r="E24" s="215"/>
      <c r="G24" s="215"/>
      <c r="H24" s="215"/>
    </row>
    <row r="25" spans="1:25" ht="25.9" customHeight="1" x14ac:dyDescent="0.4">
      <c r="A25" s="279" t="s">
        <v>20</v>
      </c>
      <c r="B25" s="257"/>
      <c r="C25" s="272" t="s">
        <v>1</v>
      </c>
      <c r="D25" s="272"/>
      <c r="E25" s="272" t="s">
        <v>118</v>
      </c>
      <c r="F25" s="272"/>
      <c r="G25" s="272" t="s">
        <v>220</v>
      </c>
      <c r="H25" s="272"/>
      <c r="J25" s="176"/>
      <c r="K25" s="176"/>
      <c r="L25" s="176"/>
      <c r="M25" s="176"/>
      <c r="N25" s="176"/>
      <c r="O25" s="176"/>
      <c r="P25" s="176"/>
      <c r="Y25" s="176"/>
    </row>
    <row r="26" spans="1:25" s="184" customFormat="1" ht="37.9" customHeight="1" x14ac:dyDescent="0.4">
      <c r="A26" s="280"/>
      <c r="B26" s="258"/>
      <c r="C26" s="182" t="s">
        <v>5</v>
      </c>
      <c r="D26" s="183" t="s">
        <v>136</v>
      </c>
      <c r="E26" s="182" t="s">
        <v>5</v>
      </c>
      <c r="F26" s="183" t="s">
        <v>136</v>
      </c>
      <c r="G26" s="182" t="s">
        <v>5</v>
      </c>
      <c r="H26" s="183" t="s">
        <v>136</v>
      </c>
      <c r="J26" s="204"/>
      <c r="L26" s="204"/>
      <c r="M26" s="204"/>
      <c r="N26" s="204"/>
      <c r="O26" s="204"/>
      <c r="P26" s="204"/>
      <c r="Y26" s="212"/>
    </row>
    <row r="27" spans="1:25" ht="25.9" customHeight="1" x14ac:dyDescent="0.4">
      <c r="A27" s="185" t="s">
        <v>21</v>
      </c>
      <c r="B27" s="185"/>
      <c r="C27" s="186">
        <v>241858.9</v>
      </c>
      <c r="D27" s="173">
        <f>C27/966478*1000</f>
        <v>250.24770351730717</v>
      </c>
      <c r="E27" s="186">
        <f>C27</f>
        <v>241858.9</v>
      </c>
      <c r="F27" s="173">
        <f>E27/966478*1000</f>
        <v>250.24770351730717</v>
      </c>
      <c r="G27" s="186">
        <f>C27</f>
        <v>241858.9</v>
      </c>
      <c r="H27" s="173">
        <f>G27/966478*1000</f>
        <v>250.24770351730717</v>
      </c>
      <c r="J27" s="176"/>
      <c r="K27" s="176"/>
      <c r="L27" s="176"/>
      <c r="M27" s="176"/>
      <c r="N27" s="176"/>
      <c r="O27" s="176"/>
      <c r="P27" s="176"/>
    </row>
    <row r="28" spans="1:25" ht="60.75" hidden="1" customHeight="1" x14ac:dyDescent="0.35">
      <c r="A28" s="10" t="s">
        <v>133</v>
      </c>
      <c r="B28" s="10"/>
      <c r="C28" s="187">
        <v>0</v>
      </c>
      <c r="D28" s="173">
        <f>C28/966478*1000</f>
        <v>0</v>
      </c>
      <c r="E28" s="187">
        <v>0</v>
      </c>
      <c r="F28" s="173">
        <f>E28/966478*1000</f>
        <v>0</v>
      </c>
      <c r="G28" s="214"/>
      <c r="H28" s="214"/>
      <c r="J28" s="204"/>
      <c r="Y28" s="176"/>
    </row>
    <row r="29" spans="1:25" ht="37.9" customHeight="1" x14ac:dyDescent="0.4">
      <c r="A29" s="270" t="s">
        <v>303</v>
      </c>
      <c r="B29" s="270"/>
      <c r="C29" s="270"/>
      <c r="D29" s="270"/>
      <c r="E29" s="270"/>
      <c r="F29" s="270"/>
      <c r="G29" s="270"/>
      <c r="H29" s="270"/>
      <c r="J29" s="176"/>
      <c r="L29" s="176"/>
      <c r="M29" s="176"/>
      <c r="N29" s="176"/>
      <c r="O29" s="176"/>
      <c r="P29" s="176"/>
    </row>
    <row r="31" spans="1:25" hidden="1" x14ac:dyDescent="0.35">
      <c r="A31" s="188"/>
      <c r="B31" s="170"/>
    </row>
    <row r="32" spans="1:25" hidden="1" x14ac:dyDescent="0.35">
      <c r="A32" s="188"/>
      <c r="B32" s="170"/>
    </row>
    <row r="33" spans="3:4" hidden="1" x14ac:dyDescent="0.35"/>
    <row r="34" spans="3:4" ht="40.5" hidden="1" customHeight="1" x14ac:dyDescent="0.35">
      <c r="C34" s="170"/>
      <c r="D34" s="189"/>
    </row>
    <row r="35" spans="3:4" ht="32.25" hidden="1" customHeight="1" x14ac:dyDescent="0.35">
      <c r="C35" s="170"/>
      <c r="D35" s="189"/>
    </row>
    <row r="36" spans="3:4" hidden="1" x14ac:dyDescent="0.35"/>
    <row r="37" spans="3:4" hidden="1" x14ac:dyDescent="0.35">
      <c r="D37" s="176"/>
    </row>
    <row r="38" spans="3:4" hidden="1" x14ac:dyDescent="0.35">
      <c r="D38" s="176"/>
    </row>
    <row r="39" spans="3:4" hidden="1" x14ac:dyDescent="0.35"/>
    <row r="40" spans="3:4" hidden="1" x14ac:dyDescent="0.35"/>
    <row r="41" spans="3:4" hidden="1" x14ac:dyDescent="0.35"/>
    <row r="42" spans="3:4" hidden="1" x14ac:dyDescent="0.35"/>
    <row r="43" spans="3:4" hidden="1" x14ac:dyDescent="0.35"/>
    <row r="44" spans="3:4" hidden="1" x14ac:dyDescent="0.35"/>
    <row r="45" spans="3:4" hidden="1" x14ac:dyDescent="0.35">
      <c r="C45" s="190"/>
      <c r="D45" s="190"/>
    </row>
    <row r="46" spans="3:4" hidden="1" x14ac:dyDescent="0.35">
      <c r="C46" s="190"/>
      <c r="D46" s="190"/>
    </row>
    <row r="47" spans="3:4" hidden="1" x14ac:dyDescent="0.35"/>
    <row r="48" spans="3:4" hidden="1" x14ac:dyDescent="0.35"/>
    <row r="49" spans="2:5" hidden="1" x14ac:dyDescent="0.35">
      <c r="D49" s="176"/>
    </row>
    <row r="50" spans="2:5" hidden="1" x14ac:dyDescent="0.35">
      <c r="D50" s="176"/>
    </row>
    <row r="51" spans="2:5" hidden="1" x14ac:dyDescent="0.35"/>
    <row r="52" spans="2:5" hidden="1" x14ac:dyDescent="0.35"/>
    <row r="53" spans="2:5" hidden="1" x14ac:dyDescent="0.35"/>
    <row r="54" spans="2:5" x14ac:dyDescent="0.4">
      <c r="C54" s="191"/>
      <c r="D54" s="191"/>
      <c r="E54" s="191"/>
    </row>
    <row r="55" spans="2:5" x14ac:dyDescent="0.4">
      <c r="C55" s="176"/>
    </row>
    <row r="57" spans="2:5" x14ac:dyDescent="0.4">
      <c r="B57" s="176"/>
    </row>
    <row r="58" spans="2:5" x14ac:dyDescent="0.4">
      <c r="B58" s="176"/>
    </row>
    <row r="59" spans="2:5" x14ac:dyDescent="0.4">
      <c r="B59" s="176"/>
    </row>
    <row r="61" spans="2:5" x14ac:dyDescent="0.4">
      <c r="C61" s="176"/>
      <c r="E61" s="176"/>
    </row>
    <row r="62" spans="2:5" x14ac:dyDescent="0.4">
      <c r="C62" s="176"/>
      <c r="E62" s="176"/>
    </row>
  </sheetData>
  <mergeCells count="17">
    <mergeCell ref="A22:F22"/>
    <mergeCell ref="E8:F8"/>
    <mergeCell ref="A29:H29"/>
    <mergeCell ref="D1:H1"/>
    <mergeCell ref="G8:H8"/>
    <mergeCell ref="G25:H25"/>
    <mergeCell ref="A2:H2"/>
    <mergeCell ref="A3:H3"/>
    <mergeCell ref="A4:H4"/>
    <mergeCell ref="C7:D8"/>
    <mergeCell ref="E7:H7"/>
    <mergeCell ref="A7:A9"/>
    <mergeCell ref="B7:B9"/>
    <mergeCell ref="A25:A26"/>
    <mergeCell ref="A23:F23"/>
    <mergeCell ref="C25:D25"/>
    <mergeCell ref="E25:F25"/>
  </mergeCells>
  <phoneticPr fontId="25" type="noConversion"/>
  <printOptions horizontalCentered="1"/>
  <pageMargins left="0.51181102362204722" right="0.51181102362204722" top="0.94488188976377963" bottom="0.39370078740157483" header="0.31496062992125984" footer="0.31496062992125984"/>
  <pageSetup paperSize="9" scale="45" orientation="landscape" horizontalDpi="4294967294" verticalDpi="429496729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130"/>
  <sheetViews>
    <sheetView view="pageBreakPreview" topLeftCell="A106" zoomScale="55" zoomScaleNormal="76" zoomScaleSheetLayoutView="55" workbookViewId="0">
      <selection activeCell="N57" sqref="N57"/>
    </sheetView>
  </sheetViews>
  <sheetFormatPr defaultColWidth="9.26953125" defaultRowHeight="37.5" customHeight="1" x14ac:dyDescent="0.35"/>
  <cols>
    <col min="1" max="1" width="9.26953125" style="163" customWidth="1"/>
    <col min="2" max="2" width="9.26953125" style="163"/>
    <col min="3" max="3" width="44.453125" style="163" customWidth="1"/>
    <col min="4" max="4" width="9" style="163" customWidth="1"/>
    <col min="5" max="5" width="30" style="163" customWidth="1"/>
    <col min="6" max="6" width="21.7265625" style="15" customWidth="1"/>
    <col min="7" max="7" width="20.54296875" style="15" customWidth="1"/>
    <col min="8" max="8" width="10.26953125" style="15" customWidth="1"/>
    <col min="9" max="9" width="16.54296875" style="15" customWidth="1"/>
    <col min="10" max="10" width="10.7265625" style="15" customWidth="1"/>
    <col min="11" max="11" width="16.7265625" style="15" customWidth="1"/>
    <col min="12" max="12" width="13.54296875" style="15" customWidth="1"/>
    <col min="13" max="13" width="12" style="15" customWidth="1"/>
    <col min="14" max="15" width="17.26953125" style="163" customWidth="1"/>
    <col min="16" max="16" width="15.54296875" style="163" customWidth="1"/>
    <col min="17" max="17" width="9.7265625" style="163" bestFit="1" customWidth="1"/>
    <col min="18" max="18" width="17.7265625" style="163" customWidth="1"/>
    <col min="19" max="19" width="10.453125" style="163" bestFit="1" customWidth="1"/>
    <col min="20" max="20" width="20.7265625" style="163" customWidth="1"/>
    <col min="21" max="21" width="10.7265625" style="163" bestFit="1" customWidth="1"/>
    <col min="22" max="22" width="19.26953125" style="163" customWidth="1"/>
    <col min="23" max="23" width="9.7265625" style="163" bestFit="1" customWidth="1"/>
    <col min="24" max="16384" width="9.26953125" style="163"/>
  </cols>
  <sheetData>
    <row r="1" spans="1:16" s="12" customFormat="1" ht="74.25" customHeight="1" x14ac:dyDescent="0.35">
      <c r="F1" s="13"/>
      <c r="G1" s="13"/>
      <c r="H1" s="13"/>
      <c r="I1" s="282" t="s">
        <v>275</v>
      </c>
      <c r="J1" s="282"/>
      <c r="K1" s="282"/>
      <c r="L1" s="282"/>
      <c r="M1" s="282"/>
      <c r="N1" s="14"/>
      <c r="O1" s="14"/>
    </row>
    <row r="2" spans="1:16" ht="22.5" customHeight="1" x14ac:dyDescent="0.3">
      <c r="M2" s="16"/>
    </row>
    <row r="3" spans="1:16" ht="21" customHeight="1" x14ac:dyDescent="0.45">
      <c r="A3" s="283" t="s">
        <v>22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6" ht="21" customHeight="1" x14ac:dyDescent="0.45">
      <c r="A4" s="283" t="s">
        <v>23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6" ht="21" customHeight="1" x14ac:dyDescent="0.45">
      <c r="A5" s="283" t="s">
        <v>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6" ht="19.899999999999999" customHeight="1" x14ac:dyDescent="0.3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</row>
    <row r="7" spans="1:16" ht="44.65" customHeight="1" x14ac:dyDescent="0.35">
      <c r="A7" s="284"/>
      <c r="B7" s="284"/>
      <c r="C7" s="284"/>
      <c r="D7" s="285" t="s">
        <v>24</v>
      </c>
      <c r="E7" s="285" t="s">
        <v>25</v>
      </c>
      <c r="F7" s="284" t="s">
        <v>26</v>
      </c>
      <c r="G7" s="284" t="s">
        <v>27</v>
      </c>
      <c r="H7" s="284" t="s">
        <v>28</v>
      </c>
      <c r="I7" s="285" t="s">
        <v>29</v>
      </c>
      <c r="J7" s="285"/>
      <c r="K7" s="285" t="s">
        <v>30</v>
      </c>
      <c r="L7" s="285"/>
      <c r="M7" s="285"/>
    </row>
    <row r="8" spans="1:16" ht="13.9" customHeight="1" x14ac:dyDescent="0.35">
      <c r="A8" s="284"/>
      <c r="B8" s="284"/>
      <c r="C8" s="284"/>
      <c r="D8" s="285"/>
      <c r="E8" s="285"/>
      <c r="F8" s="284"/>
      <c r="G8" s="284"/>
      <c r="H8" s="284"/>
      <c r="I8" s="285" t="s">
        <v>31</v>
      </c>
      <c r="J8" s="285"/>
      <c r="K8" s="285" t="s">
        <v>32</v>
      </c>
      <c r="L8" s="285"/>
      <c r="M8" s="285" t="s">
        <v>33</v>
      </c>
    </row>
    <row r="9" spans="1:16" ht="59.65" customHeight="1" x14ac:dyDescent="0.35">
      <c r="A9" s="284"/>
      <c r="B9" s="284"/>
      <c r="C9" s="284"/>
      <c r="D9" s="285"/>
      <c r="E9" s="285"/>
      <c r="F9" s="284"/>
      <c r="G9" s="284"/>
      <c r="H9" s="284"/>
      <c r="I9" s="260" t="s">
        <v>34</v>
      </c>
      <c r="J9" s="260" t="s">
        <v>35</v>
      </c>
      <c r="K9" s="260" t="s">
        <v>34</v>
      </c>
      <c r="L9" s="260" t="s">
        <v>36</v>
      </c>
      <c r="M9" s="285"/>
    </row>
    <row r="10" spans="1:16" ht="15.65" customHeight="1" x14ac:dyDescent="0.3">
      <c r="A10" s="287"/>
      <c r="B10" s="287"/>
      <c r="C10" s="287"/>
      <c r="D10" s="262">
        <v>1</v>
      </c>
      <c r="E10" s="262">
        <v>2</v>
      </c>
      <c r="F10" s="19">
        <v>3</v>
      </c>
      <c r="G10" s="19">
        <v>4</v>
      </c>
      <c r="H10" s="19"/>
      <c r="I10" s="19">
        <v>5</v>
      </c>
      <c r="J10" s="19">
        <v>6</v>
      </c>
      <c r="K10" s="19">
        <v>7</v>
      </c>
      <c r="L10" s="19">
        <v>8</v>
      </c>
      <c r="M10" s="19">
        <v>9</v>
      </c>
    </row>
    <row r="11" spans="1:16" ht="37.5" customHeight="1" x14ac:dyDescent="0.35">
      <c r="A11" s="288" t="s">
        <v>37</v>
      </c>
      <c r="B11" s="288"/>
      <c r="C11" s="288"/>
      <c r="D11" s="20" t="s">
        <v>7</v>
      </c>
      <c r="E11" s="20"/>
      <c r="F11" s="9" t="s">
        <v>38</v>
      </c>
      <c r="G11" s="9" t="s">
        <v>38</v>
      </c>
      <c r="H11" s="164">
        <v>2.9489999999999998</v>
      </c>
      <c r="I11" s="11">
        <f>K11/N11*1000</f>
        <v>9851.7091092721021</v>
      </c>
      <c r="J11" s="9" t="s">
        <v>38</v>
      </c>
      <c r="K11" s="21">
        <f>K12+K15+K19+K22+K24+K26+K27+K28</f>
        <v>9559408.8999999985</v>
      </c>
      <c r="L11" s="9" t="s">
        <v>38</v>
      </c>
      <c r="M11" s="21">
        <f>ROUND(K11/(K108+L108)*100,2)</f>
        <v>20.37</v>
      </c>
      <c r="N11" s="163">
        <v>970330</v>
      </c>
      <c r="P11" s="163" t="s">
        <v>39</v>
      </c>
    </row>
    <row r="12" spans="1:16" ht="37.5" customHeight="1" x14ac:dyDescent="0.35">
      <c r="A12" s="289" t="s">
        <v>40</v>
      </c>
      <c r="B12" s="289"/>
      <c r="C12" s="289"/>
      <c r="D12" s="3" t="s">
        <v>9</v>
      </c>
      <c r="E12" s="3" t="s">
        <v>41</v>
      </c>
      <c r="F12" s="22">
        <f>1300/N11+F13</f>
        <v>3.9161934599569216E-3</v>
      </c>
      <c r="G12" s="11">
        <f>I12/F12</f>
        <v>263273.37986842106</v>
      </c>
      <c r="H12" s="164">
        <v>2.9489999999999998</v>
      </c>
      <c r="I12" s="11">
        <f>K12/N11*1000</f>
        <v>1031.0294884214647</v>
      </c>
      <c r="J12" s="9" t="s">
        <v>38</v>
      </c>
      <c r="K12" s="11">
        <f>K13+K14</f>
        <v>1000438.8435</v>
      </c>
      <c r="L12" s="9" t="s">
        <v>38</v>
      </c>
      <c r="M12" s="9" t="s">
        <v>38</v>
      </c>
      <c r="N12" s="23"/>
      <c r="O12" s="23"/>
      <c r="P12" s="24"/>
    </row>
    <row r="13" spans="1:16" ht="37.5" customHeight="1" x14ac:dyDescent="0.35">
      <c r="A13" s="290" t="s">
        <v>42</v>
      </c>
      <c r="B13" s="290"/>
      <c r="C13" s="290"/>
      <c r="D13" s="3" t="s">
        <v>10</v>
      </c>
      <c r="E13" s="263" t="s">
        <v>41</v>
      </c>
      <c r="F13" s="22">
        <f>2500/N11</f>
        <v>2.576443065761133E-3</v>
      </c>
      <c r="G13" s="11">
        <f>G62</f>
        <v>7161.9413999999997</v>
      </c>
      <c r="H13" s="164">
        <v>2.9489999999999998</v>
      </c>
      <c r="I13" s="11">
        <f>G13*F13</f>
        <v>18.452334257417579</v>
      </c>
      <c r="J13" s="9" t="s">
        <v>38</v>
      </c>
      <c r="K13" s="11">
        <f>I13*N11/1000</f>
        <v>17904.853500000001</v>
      </c>
      <c r="L13" s="9" t="s">
        <v>38</v>
      </c>
      <c r="M13" s="9" t="s">
        <v>38</v>
      </c>
      <c r="N13" s="24"/>
    </row>
    <row r="14" spans="1:16" ht="37.5" customHeight="1" x14ac:dyDescent="0.35">
      <c r="A14" s="290" t="s">
        <v>244</v>
      </c>
      <c r="B14" s="290"/>
      <c r="C14" s="290"/>
      <c r="D14" s="3" t="s">
        <v>10</v>
      </c>
      <c r="E14" s="263" t="s">
        <v>41</v>
      </c>
      <c r="F14" s="22">
        <f>1300/N11</f>
        <v>1.3397503941957891E-3</v>
      </c>
      <c r="G14" s="11">
        <f>I14/F14</f>
        <v>755795.37692307692</v>
      </c>
      <c r="H14" s="164">
        <v>2.9489999999999998</v>
      </c>
      <c r="I14" s="11">
        <f>K14/N11*1000</f>
        <v>1012.5771541640473</v>
      </c>
      <c r="J14" s="9" t="s">
        <v>38</v>
      </c>
      <c r="K14" s="11">
        <v>982533.99</v>
      </c>
      <c r="L14" s="9" t="s">
        <v>38</v>
      </c>
      <c r="M14" s="9" t="s">
        <v>38</v>
      </c>
      <c r="N14" s="24"/>
    </row>
    <row r="15" spans="1:16" ht="51" customHeight="1" x14ac:dyDescent="0.35">
      <c r="A15" s="286" t="s">
        <v>43</v>
      </c>
      <c r="B15" s="286"/>
      <c r="C15" s="286"/>
      <c r="D15" s="3" t="s">
        <v>11</v>
      </c>
      <c r="E15" s="4" t="s">
        <v>245</v>
      </c>
      <c r="F15" s="164">
        <f>0.73</f>
        <v>0.73</v>
      </c>
      <c r="G15" s="11">
        <f>457.2*H15</f>
        <v>1348.2828</v>
      </c>
      <c r="H15" s="164">
        <v>2.9489999999999998</v>
      </c>
      <c r="I15" s="11">
        <f>G15*F15</f>
        <v>984.246444</v>
      </c>
      <c r="J15" s="9" t="s">
        <v>38</v>
      </c>
      <c r="K15" s="11">
        <f>I15*N11/1000</f>
        <v>955043.85200652003</v>
      </c>
      <c r="L15" s="9" t="s">
        <v>38</v>
      </c>
      <c r="M15" s="9" t="s">
        <v>38</v>
      </c>
    </row>
    <row r="16" spans="1:16" ht="51" customHeight="1" x14ac:dyDescent="0.35">
      <c r="A16" s="286"/>
      <c r="B16" s="286"/>
      <c r="C16" s="286"/>
      <c r="D16" s="3" t="s">
        <v>164</v>
      </c>
      <c r="E16" s="4" t="s">
        <v>246</v>
      </c>
      <c r="F16" s="164"/>
      <c r="G16" s="11"/>
      <c r="H16" s="164">
        <v>2.9489999999999998</v>
      </c>
      <c r="I16" s="11">
        <f>F16*G16</f>
        <v>0</v>
      </c>
      <c r="J16" s="9" t="s">
        <v>38</v>
      </c>
      <c r="K16" s="11">
        <f>I16*N11/1000</f>
        <v>0</v>
      </c>
      <c r="L16" s="9" t="s">
        <v>38</v>
      </c>
      <c r="M16" s="9" t="s">
        <v>38</v>
      </c>
    </row>
    <row r="17" spans="1:16" ht="78.75" customHeight="1" x14ac:dyDescent="0.35">
      <c r="A17" s="286"/>
      <c r="B17" s="286"/>
      <c r="C17" s="286"/>
      <c r="D17" s="3" t="s">
        <v>166</v>
      </c>
      <c r="E17" s="263" t="s">
        <v>217</v>
      </c>
      <c r="F17" s="164"/>
      <c r="G17" s="11"/>
      <c r="H17" s="164">
        <v>2.9489999999999998</v>
      </c>
      <c r="I17" s="11">
        <f>F17*G17</f>
        <v>0</v>
      </c>
      <c r="J17" s="9" t="s">
        <v>38</v>
      </c>
      <c r="K17" s="11">
        <f>I17*N11/1000</f>
        <v>0</v>
      </c>
      <c r="L17" s="9" t="s">
        <v>38</v>
      </c>
      <c r="M17" s="9" t="s">
        <v>38</v>
      </c>
    </row>
    <row r="18" spans="1:16" ht="51" customHeight="1" x14ac:dyDescent="0.35">
      <c r="A18" s="286"/>
      <c r="B18" s="286"/>
      <c r="C18" s="286"/>
      <c r="D18" s="3" t="s">
        <v>216</v>
      </c>
      <c r="E18" s="263" t="s">
        <v>218</v>
      </c>
      <c r="F18" s="164"/>
      <c r="G18" s="11"/>
      <c r="H18" s="164">
        <v>2.9489999999999998</v>
      </c>
      <c r="I18" s="11"/>
      <c r="J18" s="9"/>
      <c r="K18" s="11"/>
      <c r="L18" s="9"/>
      <c r="M18" s="9"/>
    </row>
    <row r="19" spans="1:16" ht="16.899999999999999" customHeight="1" x14ac:dyDescent="0.35">
      <c r="A19" s="286"/>
      <c r="B19" s="286"/>
      <c r="C19" s="286"/>
      <c r="D19" s="3" t="s">
        <v>13</v>
      </c>
      <c r="E19" s="4" t="s">
        <v>45</v>
      </c>
      <c r="F19" s="164">
        <v>0.14399999999999999</v>
      </c>
      <c r="G19" s="11">
        <f>1325.8*H19</f>
        <v>3909.7841999999996</v>
      </c>
      <c r="H19" s="164">
        <v>2.9489999999999998</v>
      </c>
      <c r="I19" s="11">
        <f>G19*F19</f>
        <v>563.00892479999993</v>
      </c>
      <c r="J19" s="9" t="s">
        <v>38</v>
      </c>
      <c r="K19" s="11">
        <f>I19*N11/1000</f>
        <v>546304.45000118401</v>
      </c>
      <c r="L19" s="9" t="s">
        <v>38</v>
      </c>
      <c r="M19" s="9" t="s">
        <v>38</v>
      </c>
    </row>
    <row r="20" spans="1:16" ht="30.65" customHeight="1" x14ac:dyDescent="0.35">
      <c r="A20" s="291" t="s">
        <v>42</v>
      </c>
      <c r="B20" s="291"/>
      <c r="C20" s="291"/>
      <c r="D20" s="3" t="s">
        <v>14</v>
      </c>
      <c r="E20" s="263" t="s">
        <v>44</v>
      </c>
      <c r="F20" s="22">
        <f>1400/N11</f>
        <v>1.4428081168262343E-3</v>
      </c>
      <c r="G20" s="11">
        <f>G63</f>
        <v>1513.3748150682595</v>
      </c>
      <c r="H20" s="164">
        <v>2.9489999999999998</v>
      </c>
      <c r="I20" s="11">
        <f>F20*G20</f>
        <v>2.1835094669808863</v>
      </c>
      <c r="J20" s="9" t="s">
        <v>38</v>
      </c>
      <c r="K20" s="11">
        <f>I20*N11/1000</f>
        <v>2118.7247410955633</v>
      </c>
      <c r="L20" s="9" t="s">
        <v>38</v>
      </c>
      <c r="M20" s="9" t="s">
        <v>38</v>
      </c>
    </row>
    <row r="21" spans="1:16" ht="16.149999999999999" customHeight="1" x14ac:dyDescent="0.35">
      <c r="A21" s="291"/>
      <c r="B21" s="291"/>
      <c r="C21" s="291"/>
      <c r="D21" s="3" t="s">
        <v>15</v>
      </c>
      <c r="E21" s="263" t="s">
        <v>45</v>
      </c>
      <c r="F21" s="164"/>
      <c r="G21" s="11"/>
      <c r="H21" s="164">
        <v>2.9489999999999998</v>
      </c>
      <c r="I21" s="11"/>
      <c r="J21" s="9" t="s">
        <v>38</v>
      </c>
      <c r="K21" s="11"/>
      <c r="L21" s="9" t="s">
        <v>38</v>
      </c>
      <c r="M21" s="9" t="s">
        <v>38</v>
      </c>
    </row>
    <row r="22" spans="1:16" ht="29.5" customHeight="1" x14ac:dyDescent="0.35">
      <c r="A22" s="286" t="s">
        <v>46</v>
      </c>
      <c r="B22" s="286"/>
      <c r="C22" s="286"/>
      <c r="D22" s="3" t="s">
        <v>16</v>
      </c>
      <c r="E22" s="4" t="s">
        <v>47</v>
      </c>
      <c r="F22" s="22">
        <v>1.46E-2</v>
      </c>
      <c r="G22" s="11">
        <f>78432.1*H22</f>
        <v>231296.2629</v>
      </c>
      <c r="H22" s="164">
        <v>2.9489999999999998</v>
      </c>
      <c r="I22" s="11">
        <f>G22*F22</f>
        <v>3376.9254383400003</v>
      </c>
      <c r="J22" s="9" t="s">
        <v>38</v>
      </c>
      <c r="K22" s="11">
        <f>I22*N11/1000</f>
        <v>3276732.0605844525</v>
      </c>
      <c r="L22" s="9" t="s">
        <v>38</v>
      </c>
      <c r="M22" s="9" t="s">
        <v>38</v>
      </c>
    </row>
    <row r="23" spans="1:16" ht="18.649999999999999" customHeight="1" x14ac:dyDescent="0.35">
      <c r="A23" s="291" t="s">
        <v>42</v>
      </c>
      <c r="B23" s="291"/>
      <c r="C23" s="291"/>
      <c r="D23" s="3" t="s">
        <v>18</v>
      </c>
      <c r="E23" s="263" t="s">
        <v>47</v>
      </c>
      <c r="F23" s="25">
        <f>180/N11</f>
        <v>1.8550390073480155E-4</v>
      </c>
      <c r="G23" s="11">
        <f>G75</f>
        <v>99187.971232666387</v>
      </c>
      <c r="H23" s="164">
        <v>2.9489999999999998</v>
      </c>
      <c r="I23" s="11">
        <f>G23*F23</f>
        <v>18.399755569630898</v>
      </c>
      <c r="J23" s="9" t="s">
        <v>38</v>
      </c>
      <c r="K23" s="11">
        <f>I23*N11/1000</f>
        <v>17853.834821879951</v>
      </c>
      <c r="L23" s="9" t="s">
        <v>38</v>
      </c>
      <c r="M23" s="9" t="s">
        <v>38</v>
      </c>
    </row>
    <row r="24" spans="1:16" ht="18" customHeight="1" x14ac:dyDescent="0.35">
      <c r="A24" s="286" t="s">
        <v>48</v>
      </c>
      <c r="B24" s="286"/>
      <c r="C24" s="286"/>
      <c r="D24" s="3" t="s">
        <v>19</v>
      </c>
      <c r="E24" s="4" t="s">
        <v>49</v>
      </c>
      <c r="F24" s="164">
        <v>4.0000000000000001E-3</v>
      </c>
      <c r="G24" s="11">
        <f>13541.2*H24</f>
        <v>39932.998800000001</v>
      </c>
      <c r="H24" s="164">
        <v>2.9489999999999998</v>
      </c>
      <c r="I24" s="11">
        <f>G24*F24</f>
        <v>159.7319952</v>
      </c>
      <c r="J24" s="9" t="s">
        <v>38</v>
      </c>
      <c r="K24" s="11">
        <f>I24*N11/1000</f>
        <v>154992.74690241599</v>
      </c>
      <c r="L24" s="9" t="s">
        <v>38</v>
      </c>
      <c r="M24" s="9" t="s">
        <v>38</v>
      </c>
    </row>
    <row r="25" spans="1:16" ht="16.149999999999999" customHeight="1" x14ac:dyDescent="0.35">
      <c r="A25" s="291" t="s">
        <v>42</v>
      </c>
      <c r="B25" s="291"/>
      <c r="C25" s="291"/>
      <c r="D25" s="3" t="s">
        <v>50</v>
      </c>
      <c r="E25" s="263" t="s">
        <v>49</v>
      </c>
      <c r="F25" s="164"/>
      <c r="G25" s="11"/>
      <c r="H25" s="164">
        <v>2.9489999999999998</v>
      </c>
      <c r="I25" s="11"/>
      <c r="J25" s="9" t="s">
        <v>38</v>
      </c>
      <c r="K25" s="11"/>
      <c r="L25" s="9" t="s">
        <v>38</v>
      </c>
      <c r="M25" s="9" t="s">
        <v>38</v>
      </c>
    </row>
    <row r="26" spans="1:16" ht="16.899999999999999" customHeight="1" x14ac:dyDescent="0.35">
      <c r="A26" s="286" t="s">
        <v>167</v>
      </c>
      <c r="B26" s="286"/>
      <c r="C26" s="286"/>
      <c r="D26" s="3" t="s">
        <v>51</v>
      </c>
      <c r="E26" s="4" t="s">
        <v>52</v>
      </c>
      <c r="F26" s="26"/>
      <c r="G26" s="11"/>
      <c r="H26" s="164">
        <v>2.9489999999999998</v>
      </c>
      <c r="I26" s="11"/>
      <c r="J26" s="9" t="s">
        <v>38</v>
      </c>
      <c r="K26" s="11"/>
      <c r="L26" s="9" t="s">
        <v>38</v>
      </c>
      <c r="M26" s="9" t="s">
        <v>38</v>
      </c>
    </row>
    <row r="27" spans="1:16" ht="15.65" customHeight="1" x14ac:dyDescent="0.35">
      <c r="A27" s="286" t="s">
        <v>53</v>
      </c>
      <c r="B27" s="286"/>
      <c r="C27" s="286"/>
      <c r="D27" s="3" t="s">
        <v>54</v>
      </c>
      <c r="E27" s="3" t="s">
        <v>55</v>
      </c>
      <c r="F27" s="7"/>
      <c r="G27" s="1"/>
      <c r="H27" s="164">
        <v>2.9489999999999998</v>
      </c>
      <c r="I27" s="11">
        <f>K27/N11*1000</f>
        <v>3511.9348541273876</v>
      </c>
      <c r="J27" s="9" t="s">
        <v>38</v>
      </c>
      <c r="K27" s="11">
        <v>3407735.7470054282</v>
      </c>
      <c r="L27" s="9" t="s">
        <v>38</v>
      </c>
      <c r="M27" s="9" t="s">
        <v>38</v>
      </c>
      <c r="N27" s="24"/>
      <c r="O27" s="24"/>
      <c r="P27" s="24"/>
    </row>
    <row r="28" spans="1:16" ht="29.5" customHeight="1" x14ac:dyDescent="0.35">
      <c r="A28" s="286" t="s">
        <v>56</v>
      </c>
      <c r="B28" s="286"/>
      <c r="C28" s="286"/>
      <c r="D28" s="3" t="s">
        <v>57</v>
      </c>
      <c r="E28" s="4" t="s">
        <v>47</v>
      </c>
      <c r="F28" s="22">
        <f>1175/N11</f>
        <v>1.2109282409077324E-3</v>
      </c>
      <c r="G28" s="11">
        <f>I28/F28</f>
        <v>185669.10638297873</v>
      </c>
      <c r="H28" s="164">
        <v>2.9489999999999998</v>
      </c>
      <c r="I28" s="11">
        <f>K28/N11*1000</f>
        <v>224.83196438325106</v>
      </c>
      <c r="J28" s="9" t="s">
        <v>38</v>
      </c>
      <c r="K28" s="11">
        <v>218161.2</v>
      </c>
      <c r="L28" s="9" t="s">
        <v>38</v>
      </c>
      <c r="M28" s="9" t="s">
        <v>38</v>
      </c>
    </row>
    <row r="29" spans="1:16" ht="45" customHeight="1" x14ac:dyDescent="0.35">
      <c r="A29" s="293" t="s">
        <v>58</v>
      </c>
      <c r="B29" s="293"/>
      <c r="C29" s="293"/>
      <c r="D29" s="20" t="s">
        <v>59</v>
      </c>
      <c r="E29" s="20"/>
      <c r="F29" s="9"/>
      <c r="G29" s="27"/>
      <c r="H29" s="164">
        <v>2.9489999999999998</v>
      </c>
      <c r="I29" s="11">
        <f>K29/N11*1000</f>
        <v>14.428081168262343</v>
      </c>
      <c r="J29" s="9" t="s">
        <v>38</v>
      </c>
      <c r="K29" s="21">
        <f>K30+K31+K32+K33</f>
        <v>14000</v>
      </c>
      <c r="L29" s="9" t="s">
        <v>38</v>
      </c>
      <c r="M29" s="28">
        <f>K29/(K108+L108)*100</f>
        <v>2.9832585755228489E-2</v>
      </c>
    </row>
    <row r="30" spans="1:16" ht="15.65" customHeight="1" x14ac:dyDescent="0.35">
      <c r="A30" s="286" t="s">
        <v>60</v>
      </c>
      <c r="B30" s="286"/>
      <c r="C30" s="286"/>
      <c r="D30" s="3" t="s">
        <v>61</v>
      </c>
      <c r="E30" s="3" t="s">
        <v>55</v>
      </c>
      <c r="F30" s="7"/>
      <c r="G30" s="1"/>
      <c r="H30" s="164">
        <v>2.9489999999999998</v>
      </c>
      <c r="I30" s="11">
        <f>K30/N11*1000</f>
        <v>0</v>
      </c>
      <c r="J30" s="9" t="s">
        <v>38</v>
      </c>
      <c r="K30" s="11">
        <v>0</v>
      </c>
      <c r="L30" s="9" t="s">
        <v>38</v>
      </c>
      <c r="M30" s="9" t="s">
        <v>38</v>
      </c>
    </row>
    <row r="31" spans="1:16" ht="14.5" customHeight="1" x14ac:dyDescent="0.35">
      <c r="A31" s="286" t="s">
        <v>62</v>
      </c>
      <c r="B31" s="286"/>
      <c r="C31" s="286"/>
      <c r="D31" s="3" t="s">
        <v>63</v>
      </c>
      <c r="E31" s="3" t="s">
        <v>55</v>
      </c>
      <c r="F31" s="7"/>
      <c r="G31" s="1"/>
      <c r="H31" s="164">
        <v>2.9489999999999998</v>
      </c>
      <c r="I31" s="11">
        <f>K31/N11*1000</f>
        <v>0</v>
      </c>
      <c r="J31" s="9" t="s">
        <v>38</v>
      </c>
      <c r="K31" s="11"/>
      <c r="L31" s="9" t="s">
        <v>38</v>
      </c>
      <c r="M31" s="9" t="s">
        <v>38</v>
      </c>
    </row>
    <row r="32" spans="1:16" ht="13.15" customHeight="1" x14ac:dyDescent="0.35">
      <c r="A32" s="286" t="s">
        <v>64</v>
      </c>
      <c r="B32" s="286"/>
      <c r="C32" s="286"/>
      <c r="D32" s="3" t="s">
        <v>65</v>
      </c>
      <c r="E32" s="4" t="s">
        <v>55</v>
      </c>
      <c r="F32" s="7"/>
      <c r="G32" s="1"/>
      <c r="H32" s="164">
        <v>2.9489999999999998</v>
      </c>
      <c r="I32" s="11">
        <f>K32/957400*1000</f>
        <v>0</v>
      </c>
      <c r="J32" s="9" t="s">
        <v>38</v>
      </c>
      <c r="K32" s="11">
        <v>0</v>
      </c>
      <c r="L32" s="9" t="s">
        <v>38</v>
      </c>
      <c r="M32" s="9" t="s">
        <v>38</v>
      </c>
    </row>
    <row r="33" spans="1:21" ht="14.5" customHeight="1" x14ac:dyDescent="0.35">
      <c r="A33" s="286" t="s">
        <v>66</v>
      </c>
      <c r="B33" s="286"/>
      <c r="C33" s="286"/>
      <c r="D33" s="3" t="s">
        <v>67</v>
      </c>
      <c r="E33" s="4" t="s">
        <v>55</v>
      </c>
      <c r="F33" s="7"/>
      <c r="G33" s="1"/>
      <c r="H33" s="164">
        <v>2.9489999999999998</v>
      </c>
      <c r="I33" s="11">
        <f>K33/N11*1000</f>
        <v>14.428081168262343</v>
      </c>
      <c r="J33" s="9" t="s">
        <v>38</v>
      </c>
      <c r="K33" s="11">
        <v>14000</v>
      </c>
      <c r="L33" s="9" t="s">
        <v>38</v>
      </c>
      <c r="M33" s="9" t="s">
        <v>38</v>
      </c>
    </row>
    <row r="34" spans="1:21" s="31" customFormat="1" ht="16.149999999999999" customHeight="1" x14ac:dyDescent="0.35">
      <c r="A34" s="292" t="s">
        <v>68</v>
      </c>
      <c r="B34" s="292"/>
      <c r="C34" s="292"/>
      <c r="D34" s="20" t="s">
        <v>69</v>
      </c>
      <c r="E34" s="20"/>
      <c r="F34" s="9"/>
      <c r="G34" s="27"/>
      <c r="H34" s="29">
        <v>2.9489999999999998</v>
      </c>
      <c r="I34" s="9" t="s">
        <v>38</v>
      </c>
      <c r="J34" s="21">
        <f>L34/966478*1000</f>
        <v>38650.793251372503</v>
      </c>
      <c r="K34" s="9" t="s">
        <v>38</v>
      </c>
      <c r="L34" s="21">
        <f>L59+L61+L82</f>
        <v>37355141.359999999</v>
      </c>
      <c r="M34" s="21">
        <f>ROUND(L34/(K108+L108)*100,2)</f>
        <v>79.599999999999994</v>
      </c>
      <c r="N34" s="30"/>
      <c r="O34" s="30"/>
      <c r="P34" s="30"/>
    </row>
    <row r="35" spans="1:21" s="31" customFormat="1" ht="15" customHeight="1" x14ac:dyDescent="0.35">
      <c r="A35" s="292" t="s">
        <v>213</v>
      </c>
      <c r="B35" s="292"/>
      <c r="C35" s="292"/>
      <c r="D35" s="20" t="s">
        <v>70</v>
      </c>
      <c r="E35" s="20" t="s">
        <v>41</v>
      </c>
      <c r="F35" s="32">
        <f>F62+F83</f>
        <v>0.28999999999999998</v>
      </c>
      <c r="G35" s="21">
        <f>G62+G83</f>
        <v>7161.9413999999997</v>
      </c>
      <c r="H35" s="29">
        <v>2.9489999999999998</v>
      </c>
      <c r="I35" s="9" t="s">
        <v>38</v>
      </c>
      <c r="J35" s="21">
        <f>L35/966478*1000</f>
        <v>2076.963055548083</v>
      </c>
      <c r="K35" s="9" t="s">
        <v>38</v>
      </c>
      <c r="L35" s="233">
        <f>L62+L83</f>
        <v>2007339.1</v>
      </c>
      <c r="M35" s="9" t="s">
        <v>38</v>
      </c>
      <c r="N35" s="30"/>
      <c r="O35" s="30"/>
    </row>
    <row r="36" spans="1:21" s="31" customFormat="1" ht="30.65" customHeight="1" x14ac:dyDescent="0.35">
      <c r="A36" s="299" t="s">
        <v>116</v>
      </c>
      <c r="B36" s="296" t="s">
        <v>71</v>
      </c>
      <c r="C36" s="264" t="s">
        <v>168</v>
      </c>
      <c r="D36" s="20" t="s">
        <v>72</v>
      </c>
      <c r="E36" s="35" t="s">
        <v>73</v>
      </c>
      <c r="F36" s="28">
        <f>F63+F84</f>
        <v>2.9384999999999999</v>
      </c>
      <c r="G36" s="33">
        <f t="shared" ref="G36:G44" si="0">J36/F36</f>
        <v>1515.0020338626912</v>
      </c>
      <c r="H36" s="29">
        <v>2.9489999999999998</v>
      </c>
      <c r="I36" s="9" t="s">
        <v>38</v>
      </c>
      <c r="J36" s="21">
        <f>L36/966478*1000</f>
        <v>4451.8334765055179</v>
      </c>
      <c r="K36" s="9" t="s">
        <v>38</v>
      </c>
      <c r="L36" s="21">
        <f>L63+L84</f>
        <v>4302599.1147061</v>
      </c>
      <c r="M36" s="9" t="s">
        <v>38</v>
      </c>
    </row>
    <row r="37" spans="1:21" s="31" customFormat="1" ht="39" x14ac:dyDescent="0.35">
      <c r="A37" s="300"/>
      <c r="B37" s="297"/>
      <c r="C37" s="261" t="s">
        <v>169</v>
      </c>
      <c r="D37" s="3" t="s">
        <v>128</v>
      </c>
      <c r="E37" s="227" t="s">
        <v>248</v>
      </c>
      <c r="F37" s="41">
        <f>F64+F86</f>
        <v>0.2535</v>
      </c>
      <c r="G37" s="37">
        <f>G64+G86</f>
        <v>5255.7078000000001</v>
      </c>
      <c r="H37" s="164">
        <v>2.9489999999999998</v>
      </c>
      <c r="I37" s="7" t="s">
        <v>38</v>
      </c>
      <c r="J37" s="37">
        <f>J64+J86</f>
        <v>1332.3219273</v>
      </c>
      <c r="K37" s="7" t="s">
        <v>38</v>
      </c>
      <c r="L37" s="37">
        <f>L64+L86</f>
        <v>1287659.8</v>
      </c>
      <c r="M37" s="7" t="s">
        <v>38</v>
      </c>
    </row>
    <row r="38" spans="1:21" s="31" customFormat="1" ht="30.65" customHeight="1" x14ac:dyDescent="0.35">
      <c r="A38" s="300"/>
      <c r="B38" s="297"/>
      <c r="C38" s="261" t="s">
        <v>267</v>
      </c>
      <c r="D38" s="3" t="s">
        <v>171</v>
      </c>
      <c r="E38" s="227" t="s">
        <v>249</v>
      </c>
      <c r="F38" s="36">
        <f>F65+F87</f>
        <v>0.18099999999999999</v>
      </c>
      <c r="G38" s="37">
        <f>G65+G87</f>
        <v>6041.6162999999988</v>
      </c>
      <c r="H38" s="164">
        <v>2.9489999999999998</v>
      </c>
      <c r="I38" s="7" t="s">
        <v>38</v>
      </c>
      <c r="J38" s="37">
        <f>J65+J87</f>
        <v>1093.5325502999997</v>
      </c>
      <c r="K38" s="7" t="s">
        <v>38</v>
      </c>
      <c r="L38" s="37">
        <f>L65+L87</f>
        <v>1056875.2</v>
      </c>
      <c r="M38" s="7" t="s">
        <v>38</v>
      </c>
    </row>
    <row r="39" spans="1:21" s="31" customFormat="1" ht="22.5" customHeight="1" x14ac:dyDescent="0.35">
      <c r="A39" s="300"/>
      <c r="B39" s="297"/>
      <c r="C39" s="261" t="s">
        <v>265</v>
      </c>
      <c r="D39" s="3" t="s">
        <v>247</v>
      </c>
      <c r="E39" s="227" t="s">
        <v>222</v>
      </c>
      <c r="F39" s="41">
        <f>F66</f>
        <v>2.4954999999999998</v>
      </c>
      <c r="G39" s="37">
        <f t="shared" ref="G39:L39" si="1">G66</f>
        <v>804.7820999999999</v>
      </c>
      <c r="H39" s="36">
        <f t="shared" si="1"/>
        <v>2.9489999999999998</v>
      </c>
      <c r="I39" s="7" t="s">
        <v>38</v>
      </c>
      <c r="J39" s="37">
        <f t="shared" si="1"/>
        <v>2008.3337305499997</v>
      </c>
      <c r="K39" s="7" t="s">
        <v>38</v>
      </c>
      <c r="L39" s="37">
        <f t="shared" si="1"/>
        <v>1941010.4</v>
      </c>
      <c r="M39" s="7" t="s">
        <v>38</v>
      </c>
    </row>
    <row r="40" spans="1:21" s="31" customFormat="1" ht="39" x14ac:dyDescent="0.35">
      <c r="A40" s="300"/>
      <c r="B40" s="297"/>
      <c r="C40" s="261" t="s">
        <v>256</v>
      </c>
      <c r="D40" s="3" t="s">
        <v>250</v>
      </c>
      <c r="E40" s="227" t="s">
        <v>172</v>
      </c>
      <c r="F40" s="41">
        <f t="shared" ref="F40:G42" si="2">F88</f>
        <v>8.5000000000000006E-3</v>
      </c>
      <c r="G40" s="37" t="str">
        <f t="shared" si="2"/>
        <v>Х</v>
      </c>
      <c r="H40" s="164">
        <v>2.9489999999999998</v>
      </c>
      <c r="I40" s="7" t="s">
        <v>38</v>
      </c>
      <c r="J40" s="37" t="s">
        <v>38</v>
      </c>
      <c r="K40" s="7" t="s">
        <v>38</v>
      </c>
      <c r="L40" s="37" t="str">
        <f>L88</f>
        <v>Х</v>
      </c>
      <c r="M40" s="7" t="s">
        <v>38</v>
      </c>
    </row>
    <row r="41" spans="1:21" s="31" customFormat="1" ht="78" x14ac:dyDescent="0.35">
      <c r="A41" s="300"/>
      <c r="B41" s="297"/>
      <c r="C41" s="261" t="s">
        <v>257</v>
      </c>
      <c r="D41" s="3" t="s">
        <v>251</v>
      </c>
      <c r="E41" s="227" t="s">
        <v>219</v>
      </c>
      <c r="F41" s="36">
        <f t="shared" si="2"/>
        <v>7.000000000000001E-3</v>
      </c>
      <c r="G41" s="37">
        <f t="shared" si="2"/>
        <v>1212.04</v>
      </c>
      <c r="H41" s="164">
        <v>2.9489999999999998</v>
      </c>
      <c r="I41" s="7" t="s">
        <v>38</v>
      </c>
      <c r="J41" s="37">
        <f>J89</f>
        <v>8.484</v>
      </c>
      <c r="K41" s="7" t="s">
        <v>38</v>
      </c>
      <c r="L41" s="37">
        <f>L89</f>
        <v>8232.2797200000005</v>
      </c>
      <c r="M41" s="7" t="s">
        <v>38</v>
      </c>
    </row>
    <row r="42" spans="1:21" s="31" customFormat="1" ht="52" x14ac:dyDescent="0.4">
      <c r="A42" s="300"/>
      <c r="B42" s="297"/>
      <c r="C42" s="261" t="s">
        <v>258</v>
      </c>
      <c r="D42" s="3" t="s">
        <v>252</v>
      </c>
      <c r="E42" s="227" t="s">
        <v>173</v>
      </c>
      <c r="F42" s="41">
        <f t="shared" si="2"/>
        <v>1.5E-3</v>
      </c>
      <c r="G42" s="37">
        <f t="shared" si="2"/>
        <v>6060.78</v>
      </c>
      <c r="H42" s="164">
        <v>2.9489999999999998</v>
      </c>
      <c r="I42" s="7" t="s">
        <v>38</v>
      </c>
      <c r="J42" s="37">
        <f>J90</f>
        <v>9.09117</v>
      </c>
      <c r="K42" s="7" t="s">
        <v>38</v>
      </c>
      <c r="L42" s="37">
        <f>L90</f>
        <v>8821.4349860999992</v>
      </c>
      <c r="M42" s="7" t="s">
        <v>38</v>
      </c>
      <c r="O42" s="191">
        <f>T51/1000+20816.5+L82</f>
        <v>590659.5</v>
      </c>
      <c r="P42" s="30">
        <f>O42-O43</f>
        <v>590659.5</v>
      </c>
      <c r="Q42" s="31">
        <f>P42*1.1%</f>
        <v>6497.2545000000009</v>
      </c>
    </row>
    <row r="43" spans="1:21" s="31" customFormat="1" ht="30.65" customHeight="1" x14ac:dyDescent="0.4">
      <c r="A43" s="300"/>
      <c r="B43" s="297"/>
      <c r="C43" s="264" t="s">
        <v>174</v>
      </c>
      <c r="D43" s="20" t="s">
        <v>74</v>
      </c>
      <c r="E43" s="35" t="s">
        <v>75</v>
      </c>
      <c r="F43" s="32">
        <f>F67+F91</f>
        <v>0.54</v>
      </c>
      <c r="G43" s="33">
        <f>J43/F43</f>
        <v>1860.8189276481778</v>
      </c>
      <c r="H43" s="29">
        <v>2.9489999999999998</v>
      </c>
      <c r="I43" s="9" t="s">
        <v>38</v>
      </c>
      <c r="J43" s="21">
        <f>L43/966478*1000</f>
        <v>1004.8422209300161</v>
      </c>
      <c r="K43" s="9" t="s">
        <v>38</v>
      </c>
      <c r="L43" s="21">
        <f>L67+L91</f>
        <v>971157.9</v>
      </c>
      <c r="M43" s="9" t="s">
        <v>38</v>
      </c>
      <c r="O43" s="191"/>
    </row>
    <row r="44" spans="1:21" s="31" customFormat="1" ht="14.5" x14ac:dyDescent="0.35">
      <c r="A44" s="300"/>
      <c r="B44" s="297"/>
      <c r="C44" s="264" t="s">
        <v>175</v>
      </c>
      <c r="D44" s="20" t="s">
        <v>76</v>
      </c>
      <c r="E44" s="387" t="s">
        <v>45</v>
      </c>
      <c r="F44" s="388">
        <f>F68+F92</f>
        <v>1.77</v>
      </c>
      <c r="G44" s="389">
        <f t="shared" si="0"/>
        <v>4171.0656257481369</v>
      </c>
      <c r="H44" s="390">
        <v>2.9489999999999998</v>
      </c>
      <c r="I44" s="391" t="s">
        <v>38</v>
      </c>
      <c r="J44" s="392">
        <f>L44/966478*1000</f>
        <v>7382.7861575742027</v>
      </c>
      <c r="K44" s="391" t="s">
        <v>38</v>
      </c>
      <c r="L44" s="392">
        <f>L68+L92</f>
        <v>7135300.4000000004</v>
      </c>
      <c r="M44" s="391" t="s">
        <v>38</v>
      </c>
      <c r="T44" s="202"/>
    </row>
    <row r="45" spans="1:21" ht="14.5" x14ac:dyDescent="0.35">
      <c r="A45" s="300"/>
      <c r="B45" s="297"/>
      <c r="C45" s="3" t="s">
        <v>268</v>
      </c>
      <c r="D45" s="3" t="s">
        <v>236</v>
      </c>
      <c r="E45" s="393" t="s">
        <v>231</v>
      </c>
      <c r="F45" s="394">
        <f>F69</f>
        <v>6.6699999999999995E-2</v>
      </c>
      <c r="G45" s="395">
        <f t="shared" ref="G45:L45" si="3">G69</f>
        <v>4304.0029239476062</v>
      </c>
      <c r="H45" s="396">
        <f t="shared" si="3"/>
        <v>2.9489999999999998</v>
      </c>
      <c r="I45" s="397" t="str">
        <f t="shared" si="3"/>
        <v>Х</v>
      </c>
      <c r="J45" s="395">
        <f t="shared" si="3"/>
        <v>287.07699502730532</v>
      </c>
      <c r="K45" s="391" t="str">
        <f t="shared" si="3"/>
        <v>Х</v>
      </c>
      <c r="L45" s="398">
        <f t="shared" si="3"/>
        <v>277453.59999999998</v>
      </c>
      <c r="M45" s="391" t="s">
        <v>38</v>
      </c>
      <c r="O45" s="42"/>
      <c r="S45" s="207"/>
      <c r="U45" s="70"/>
    </row>
    <row r="46" spans="1:21" ht="14.5" x14ac:dyDescent="0.35">
      <c r="A46" s="300"/>
      <c r="B46" s="297"/>
      <c r="C46" s="3" t="s">
        <v>270</v>
      </c>
      <c r="D46" s="3" t="s">
        <v>237</v>
      </c>
      <c r="E46" s="393" t="s">
        <v>230</v>
      </c>
      <c r="F46" s="394">
        <f t="shared" ref="F46:L46" si="4">F70</f>
        <v>2.5000000000000001E-2</v>
      </c>
      <c r="G46" s="395">
        <f t="shared" si="4"/>
        <v>5611.9477111739734</v>
      </c>
      <c r="H46" s="396">
        <f t="shared" si="4"/>
        <v>2.9489999999999998</v>
      </c>
      <c r="I46" s="397" t="str">
        <f t="shared" si="4"/>
        <v>Х</v>
      </c>
      <c r="J46" s="395">
        <f t="shared" si="4"/>
        <v>140.29869277934935</v>
      </c>
      <c r="K46" s="391" t="str">
        <f t="shared" si="4"/>
        <v>Х</v>
      </c>
      <c r="L46" s="398">
        <f t="shared" si="4"/>
        <v>135595.6</v>
      </c>
      <c r="M46" s="391" t="s">
        <v>38</v>
      </c>
      <c r="O46" s="42"/>
      <c r="S46" s="207"/>
      <c r="U46" s="70"/>
    </row>
    <row r="47" spans="1:21" ht="14.5" x14ac:dyDescent="0.35">
      <c r="A47" s="300"/>
      <c r="B47" s="297"/>
      <c r="C47" s="3" t="s">
        <v>271</v>
      </c>
      <c r="D47" s="3" t="s">
        <v>238</v>
      </c>
      <c r="E47" s="393" t="s">
        <v>232</v>
      </c>
      <c r="F47" s="394">
        <f t="shared" ref="F47:L47" si="5">F71</f>
        <v>0.1236</v>
      </c>
      <c r="G47" s="395">
        <f t="shared" si="5"/>
        <v>1719.2064824222039</v>
      </c>
      <c r="H47" s="396">
        <f t="shared" si="5"/>
        <v>2.9489999999999998</v>
      </c>
      <c r="I47" s="397" t="str">
        <f t="shared" si="5"/>
        <v>Х</v>
      </c>
      <c r="J47" s="395">
        <f t="shared" si="5"/>
        <v>212.49392122738439</v>
      </c>
      <c r="K47" s="391" t="str">
        <f t="shared" si="5"/>
        <v>Х</v>
      </c>
      <c r="L47" s="398">
        <f t="shared" si="5"/>
        <v>205370.7</v>
      </c>
      <c r="M47" s="391" t="s">
        <v>38</v>
      </c>
      <c r="O47" s="42"/>
      <c r="S47" s="207"/>
      <c r="U47" s="70"/>
    </row>
    <row r="48" spans="1:21" ht="26" x14ac:dyDescent="0.35">
      <c r="A48" s="300"/>
      <c r="B48" s="297"/>
      <c r="C48" s="3" t="s">
        <v>272</v>
      </c>
      <c r="D48" s="3" t="s">
        <v>239</v>
      </c>
      <c r="E48" s="393" t="s">
        <v>233</v>
      </c>
      <c r="F48" s="394">
        <f t="shared" ref="F48:L48" si="6">F72</f>
        <v>5.7500000000000002E-2</v>
      </c>
      <c r="G48" s="395">
        <f t="shared" si="6"/>
        <v>2154.2891234754034</v>
      </c>
      <c r="H48" s="396">
        <f t="shared" si="6"/>
        <v>2.9489999999999998</v>
      </c>
      <c r="I48" s="397" t="str">
        <f t="shared" si="6"/>
        <v>Х</v>
      </c>
      <c r="J48" s="395">
        <f t="shared" si="6"/>
        <v>123.8716245998357</v>
      </c>
      <c r="K48" s="391" t="str">
        <f t="shared" si="6"/>
        <v>Х</v>
      </c>
      <c r="L48" s="398">
        <f t="shared" si="6"/>
        <v>119719.2</v>
      </c>
      <c r="M48" s="391" t="s">
        <v>38</v>
      </c>
      <c r="O48" s="42"/>
      <c r="S48" s="207"/>
      <c r="U48" s="70"/>
    </row>
    <row r="49" spans="1:23" ht="39" x14ac:dyDescent="0.35">
      <c r="A49" s="300"/>
      <c r="B49" s="297"/>
      <c r="C49" s="3" t="s">
        <v>269</v>
      </c>
      <c r="D49" s="3" t="s">
        <v>240</v>
      </c>
      <c r="E49" s="393" t="s">
        <v>234</v>
      </c>
      <c r="F49" s="394">
        <f t="shared" ref="F49:L49" si="7">F73</f>
        <v>1.0351E-3</v>
      </c>
      <c r="G49" s="395">
        <f t="shared" si="7"/>
        <v>29914.492986616919</v>
      </c>
      <c r="H49" s="396">
        <f t="shared" si="7"/>
        <v>2.9489999999999998</v>
      </c>
      <c r="I49" s="397" t="str">
        <f t="shared" si="7"/>
        <v>Х</v>
      </c>
      <c r="J49" s="395">
        <f t="shared" si="7"/>
        <v>30.964491690447172</v>
      </c>
      <c r="K49" s="391" t="str">
        <f t="shared" si="7"/>
        <v>Х</v>
      </c>
      <c r="L49" s="398">
        <f t="shared" si="7"/>
        <v>29926.5</v>
      </c>
      <c r="M49" s="391" t="s">
        <v>38</v>
      </c>
      <c r="O49" s="42"/>
      <c r="S49" s="207"/>
      <c r="U49" s="70"/>
    </row>
    <row r="50" spans="1:23" ht="39" x14ac:dyDescent="0.35">
      <c r="A50" s="301"/>
      <c r="B50" s="298"/>
      <c r="C50" s="3" t="s">
        <v>266</v>
      </c>
      <c r="D50" s="3" t="s">
        <v>241</v>
      </c>
      <c r="E50" s="393" t="s">
        <v>235</v>
      </c>
      <c r="F50" s="394">
        <f t="shared" ref="F50:L50" si="8">F74</f>
        <v>5.0099999999999999E-2</v>
      </c>
      <c r="G50" s="395">
        <f t="shared" si="8"/>
        <v>1695.9699000000001</v>
      </c>
      <c r="H50" s="396">
        <f t="shared" si="8"/>
        <v>2.9489999999999998</v>
      </c>
      <c r="I50" s="397" t="str">
        <f t="shared" si="8"/>
        <v>Х</v>
      </c>
      <c r="J50" s="395">
        <f t="shared" si="8"/>
        <v>84.968091990000005</v>
      </c>
      <c r="K50" s="391" t="str">
        <f t="shared" si="8"/>
        <v>Х</v>
      </c>
      <c r="L50" s="398">
        <f t="shared" si="8"/>
        <v>82119.8</v>
      </c>
      <c r="M50" s="391" t="s">
        <v>38</v>
      </c>
      <c r="O50" s="42"/>
      <c r="S50" s="207"/>
      <c r="U50" s="70"/>
    </row>
    <row r="51" spans="1:23" s="31" customFormat="1" ht="25.5" customHeight="1" x14ac:dyDescent="0.45">
      <c r="A51" s="292" t="s">
        <v>158</v>
      </c>
      <c r="B51" s="292"/>
      <c r="C51" s="292"/>
      <c r="D51" s="20" t="s">
        <v>77</v>
      </c>
      <c r="E51" s="38" t="s">
        <v>47</v>
      </c>
      <c r="F51" s="193">
        <f>F75+F99</f>
        <v>0.19145999999999999</v>
      </c>
      <c r="G51" s="33">
        <f t="shared" ref="G51:G55" si="9">J51/F51</f>
        <v>99187.971232666387</v>
      </c>
      <c r="H51" s="29">
        <v>2.9489999999999998</v>
      </c>
      <c r="I51" s="9" t="s">
        <v>38</v>
      </c>
      <c r="J51" s="21">
        <f>L51/966478*1000</f>
        <v>18990.528972206306</v>
      </c>
      <c r="K51" s="9" t="s">
        <v>38</v>
      </c>
      <c r="L51" s="21">
        <f>L75+L99</f>
        <v>18353928.460000005</v>
      </c>
      <c r="M51" s="9" t="s">
        <v>38</v>
      </c>
      <c r="N51" s="191"/>
      <c r="O51" s="191"/>
      <c r="P51" s="195"/>
      <c r="Q51" s="30"/>
      <c r="T51" s="196"/>
    </row>
    <row r="52" spans="1:23" s="31" customFormat="1" ht="25.5" customHeight="1" x14ac:dyDescent="0.45">
      <c r="A52" s="294" t="s">
        <v>132</v>
      </c>
      <c r="B52" s="294"/>
      <c r="C52" s="294"/>
      <c r="D52" s="4" t="s">
        <v>78</v>
      </c>
      <c r="E52" s="4" t="str">
        <f t="shared" ref="E52:M52" si="10">E76</f>
        <v>случай госпитализации</v>
      </c>
      <c r="F52" s="4">
        <f t="shared" si="10"/>
        <v>1.001E-2</v>
      </c>
      <c r="G52" s="39">
        <f t="shared" si="10"/>
        <v>297403.40609999996</v>
      </c>
      <c r="H52" s="4">
        <f t="shared" si="10"/>
        <v>2.9489999999999998</v>
      </c>
      <c r="I52" s="4" t="str">
        <f t="shared" si="10"/>
        <v>Х</v>
      </c>
      <c r="J52" s="39">
        <f t="shared" si="10"/>
        <v>2977.0080950609995</v>
      </c>
      <c r="K52" s="4" t="str">
        <f t="shared" si="10"/>
        <v>Х</v>
      </c>
      <c r="L52" s="39">
        <f t="shared" si="10"/>
        <v>2877212.8</v>
      </c>
      <c r="M52" s="4" t="str">
        <f t="shared" si="10"/>
        <v>Х</v>
      </c>
      <c r="P52" s="195"/>
      <c r="T52" s="196"/>
    </row>
    <row r="53" spans="1:23" s="31" customFormat="1" ht="25.5" customHeight="1" x14ac:dyDescent="0.45">
      <c r="A53" s="294" t="s">
        <v>139</v>
      </c>
      <c r="B53" s="294"/>
      <c r="C53" s="294"/>
      <c r="D53" s="3" t="s">
        <v>79</v>
      </c>
      <c r="E53" s="4" t="s">
        <v>47</v>
      </c>
      <c r="F53" s="36">
        <f>F77+F101</f>
        <v>5.0000000000000001E-3</v>
      </c>
      <c r="G53" s="11">
        <f t="shared" si="9"/>
        <v>106514.33348715646</v>
      </c>
      <c r="H53" s="164">
        <v>2.9489999999999998</v>
      </c>
      <c r="I53" s="7" t="s">
        <v>38</v>
      </c>
      <c r="J53" s="37">
        <f t="shared" ref="J53:J59" si="11">L53/966478*1000</f>
        <v>532.57166743578227</v>
      </c>
      <c r="K53" s="7" t="s">
        <v>38</v>
      </c>
      <c r="L53" s="37">
        <f>L77+L101</f>
        <v>514718.8</v>
      </c>
      <c r="M53" s="7" t="s">
        <v>38</v>
      </c>
      <c r="P53" s="195"/>
      <c r="T53" s="196"/>
      <c r="U53" s="30"/>
    </row>
    <row r="54" spans="1:23" s="31" customFormat="1" ht="25.5" customHeight="1" x14ac:dyDescent="0.35">
      <c r="A54" s="295" t="s">
        <v>140</v>
      </c>
      <c r="B54" s="295"/>
      <c r="C54" s="295"/>
      <c r="D54" s="3" t="s">
        <v>138</v>
      </c>
      <c r="E54" s="4" t="s">
        <v>47</v>
      </c>
      <c r="F54" s="41">
        <f>F78+F102</f>
        <v>3.2478752749674593E-3</v>
      </c>
      <c r="G54" s="11">
        <f t="shared" si="9"/>
        <v>243937.41318891363</v>
      </c>
      <c r="H54" s="164">
        <v>2.9489999999999998</v>
      </c>
      <c r="I54" s="7" t="s">
        <v>38</v>
      </c>
      <c r="J54" s="37">
        <f t="shared" si="11"/>
        <v>792.27829293579362</v>
      </c>
      <c r="K54" s="7" t="s">
        <v>38</v>
      </c>
      <c r="L54" s="37">
        <f>L78+L100</f>
        <v>765719.54</v>
      </c>
      <c r="M54" s="7" t="s">
        <v>38</v>
      </c>
      <c r="V54" s="30"/>
    </row>
    <row r="55" spans="1:23" s="31" customFormat="1" ht="27.75" customHeight="1" x14ac:dyDescent="0.35">
      <c r="A55" s="292" t="s">
        <v>176</v>
      </c>
      <c r="B55" s="292"/>
      <c r="C55" s="292"/>
      <c r="D55" s="20" t="s">
        <v>80</v>
      </c>
      <c r="E55" s="38" t="s">
        <v>49</v>
      </c>
      <c r="F55" s="193">
        <f>F79+F103</f>
        <v>6.2960000000000002E-2</v>
      </c>
      <c r="G55" s="33">
        <f t="shared" si="9"/>
        <v>60320.025992646988</v>
      </c>
      <c r="H55" s="29">
        <v>2.9489999999999998</v>
      </c>
      <c r="I55" s="9" t="s">
        <v>38</v>
      </c>
      <c r="J55" s="21">
        <f t="shared" si="11"/>
        <v>3797.7488364970545</v>
      </c>
      <c r="K55" s="9" t="s">
        <v>38</v>
      </c>
      <c r="L55" s="21">
        <f>L79+L105</f>
        <v>3670440.7</v>
      </c>
      <c r="M55" s="9" t="s">
        <v>38</v>
      </c>
      <c r="V55" s="30"/>
    </row>
    <row r="56" spans="1:23" s="31" customFormat="1" ht="21.75" customHeight="1" x14ac:dyDescent="0.35">
      <c r="A56" s="294" t="s">
        <v>141</v>
      </c>
      <c r="B56" s="294"/>
      <c r="C56" s="294"/>
      <c r="D56" s="4" t="s">
        <v>120</v>
      </c>
      <c r="E56" s="40" t="str">
        <f>E80</f>
        <v>случай лечения</v>
      </c>
      <c r="F56" s="68">
        <f>F80+F104</f>
        <v>6.9410000000000001E-3</v>
      </c>
      <c r="G56" s="238">
        <f>G80+G104</f>
        <v>228955.34669999999</v>
      </c>
      <c r="H56" s="268">
        <f>H80</f>
        <v>2.9489999999999998</v>
      </c>
      <c r="I56" s="40" t="str">
        <f>I80</f>
        <v>Х</v>
      </c>
      <c r="J56" s="37">
        <f t="shared" si="11"/>
        <v>1589.1790604649045</v>
      </c>
      <c r="K56" s="40" t="str">
        <f>K80</f>
        <v>Х</v>
      </c>
      <c r="L56" s="39">
        <f>L80+L104</f>
        <v>1535906.6</v>
      </c>
      <c r="M56" s="40" t="str">
        <f>M80</f>
        <v>Х</v>
      </c>
      <c r="S56" s="195"/>
    </row>
    <row r="57" spans="1:23" s="31" customFormat="1" ht="37.5" customHeight="1" x14ac:dyDescent="0.35">
      <c r="A57" s="294" t="s">
        <v>142</v>
      </c>
      <c r="B57" s="294"/>
      <c r="C57" s="294"/>
      <c r="D57" s="4" t="s">
        <v>121</v>
      </c>
      <c r="E57" s="40" t="s">
        <v>177</v>
      </c>
      <c r="F57" s="68">
        <f>F81+F105</f>
        <v>4.9200000000000003E-4</v>
      </c>
      <c r="G57" s="39">
        <f>G81+G105</f>
        <v>350086.1115</v>
      </c>
      <c r="H57" s="268">
        <v>2.9489999999999998</v>
      </c>
      <c r="I57" s="40" t="s">
        <v>38</v>
      </c>
      <c r="J57" s="37">
        <f t="shared" si="11"/>
        <v>172.24241007037924</v>
      </c>
      <c r="K57" s="40" t="s">
        <v>38</v>
      </c>
      <c r="L57" s="39">
        <f>L81+L105</f>
        <v>166468.5</v>
      </c>
      <c r="M57" s="40" t="s">
        <v>38</v>
      </c>
    </row>
    <row r="58" spans="1:23" s="31" customFormat="1" ht="15" customHeight="1" x14ac:dyDescent="0.35">
      <c r="A58" s="292" t="s">
        <v>143</v>
      </c>
      <c r="B58" s="292"/>
      <c r="C58" s="292"/>
      <c r="D58" s="20" t="s">
        <v>81</v>
      </c>
      <c r="E58" s="38" t="s">
        <v>52</v>
      </c>
      <c r="F58" s="32">
        <f>F106</f>
        <v>9.1999999999999998E-2</v>
      </c>
      <c r="G58" s="33">
        <f>G106</f>
        <v>6192.31</v>
      </c>
      <c r="H58" s="29">
        <v>2.9489999999999998</v>
      </c>
      <c r="I58" s="9" t="s">
        <v>38</v>
      </c>
      <c r="J58" s="21">
        <f>J106</f>
        <v>569.69252000000006</v>
      </c>
      <c r="K58" s="9" t="s">
        <v>38</v>
      </c>
      <c r="L58" s="21">
        <f>L106</f>
        <v>552789.74293160008</v>
      </c>
      <c r="M58" s="9" t="s">
        <v>38</v>
      </c>
    </row>
    <row r="59" spans="1:23" s="31" customFormat="1" ht="15" customHeight="1" x14ac:dyDescent="0.35">
      <c r="A59" s="292" t="s">
        <v>144</v>
      </c>
      <c r="B59" s="292"/>
      <c r="C59" s="292"/>
      <c r="D59" s="20" t="s">
        <v>82</v>
      </c>
      <c r="E59" s="20" t="s">
        <v>55</v>
      </c>
      <c r="F59" s="9"/>
      <c r="G59" s="27"/>
      <c r="H59" s="29">
        <v>2.9489999999999998</v>
      </c>
      <c r="I59" s="9" t="s">
        <v>38</v>
      </c>
      <c r="J59" s="21">
        <f t="shared" si="11"/>
        <v>374.12750212627702</v>
      </c>
      <c r="K59" s="9" t="s">
        <v>38</v>
      </c>
      <c r="L59" s="233">
        <v>361586</v>
      </c>
      <c r="M59" s="9" t="s">
        <v>38</v>
      </c>
      <c r="N59" s="34"/>
      <c r="O59" s="223"/>
      <c r="P59" s="30"/>
      <c r="R59" s="30"/>
    </row>
    <row r="60" spans="1:23" s="31" customFormat="1" ht="14.5" x14ac:dyDescent="0.35">
      <c r="A60" s="292" t="s">
        <v>145</v>
      </c>
      <c r="B60" s="292"/>
      <c r="C60" s="292"/>
      <c r="D60" s="20" t="s">
        <v>84</v>
      </c>
      <c r="E60" s="20" t="s">
        <v>55</v>
      </c>
      <c r="F60" s="9"/>
      <c r="G60" s="27"/>
      <c r="H60" s="29"/>
      <c r="I60" s="9" t="s">
        <v>38</v>
      </c>
      <c r="J60" s="21"/>
      <c r="K60" s="9" t="s">
        <v>38</v>
      </c>
      <c r="L60" s="233">
        <v>0</v>
      </c>
      <c r="M60" s="9" t="s">
        <v>38</v>
      </c>
      <c r="N60" s="30"/>
      <c r="O60" s="30"/>
    </row>
    <row r="61" spans="1:23" s="31" customFormat="1" ht="37.5" customHeight="1" x14ac:dyDescent="0.35">
      <c r="A61" s="302" t="s">
        <v>83</v>
      </c>
      <c r="B61" s="302"/>
      <c r="C61" s="302"/>
      <c r="D61" s="3" t="s">
        <v>86</v>
      </c>
      <c r="E61" s="3"/>
      <c r="F61" s="9"/>
      <c r="G61" s="27"/>
      <c r="H61" s="29">
        <v>2.9489999999999998</v>
      </c>
      <c r="I61" s="9" t="s">
        <v>38</v>
      </c>
      <c r="J61" s="21">
        <f>L61/966478*1000</f>
        <v>37687.05791544143</v>
      </c>
      <c r="K61" s="9" t="s">
        <v>38</v>
      </c>
      <c r="L61" s="236">
        <f>прил6!C14-361586+прил6!I20</f>
        <v>36423712.359999999</v>
      </c>
      <c r="M61" s="21">
        <f>L61/(L108+K108)*100</f>
        <v>77.615251607391116</v>
      </c>
      <c r="N61" s="30"/>
      <c r="O61" s="30"/>
      <c r="P61" s="30"/>
      <c r="S61" s="195"/>
      <c r="T61" s="30"/>
    </row>
    <row r="62" spans="1:23" ht="15" customHeight="1" x14ac:dyDescent="0.35">
      <c r="A62" s="286" t="s">
        <v>85</v>
      </c>
      <c r="B62" s="286"/>
      <c r="C62" s="286"/>
      <c r="D62" s="3" t="s">
        <v>146</v>
      </c>
      <c r="E62" s="3" t="s">
        <v>41</v>
      </c>
      <c r="F62" s="5">
        <v>0.28999999999999998</v>
      </c>
      <c r="G62" s="1">
        <f>2428.6*H62</f>
        <v>7161.9413999999997</v>
      </c>
      <c r="H62" s="164">
        <v>2.9489999999999998</v>
      </c>
      <c r="I62" s="6" t="s">
        <v>38</v>
      </c>
      <c r="J62" s="1">
        <f>G62*F62</f>
        <v>2076.963006</v>
      </c>
      <c r="K62" s="7" t="s">
        <v>38</v>
      </c>
      <c r="L62" s="230">
        <f>ROUND(J62*966478/1000,1)</f>
        <v>2007339.1</v>
      </c>
      <c r="M62" s="7" t="s">
        <v>38</v>
      </c>
      <c r="N62" s="42"/>
      <c r="O62" s="42"/>
      <c r="S62" s="42"/>
      <c r="T62" s="195"/>
      <c r="U62" s="42"/>
      <c r="V62" s="24"/>
      <c r="W62" s="42"/>
    </row>
    <row r="63" spans="1:23" ht="38.25" customHeight="1" x14ac:dyDescent="0.35">
      <c r="A63" s="303" t="s">
        <v>87</v>
      </c>
      <c r="B63" s="304"/>
      <c r="C63" s="305"/>
      <c r="D63" s="3" t="s">
        <v>88</v>
      </c>
      <c r="E63" s="227" t="s">
        <v>73</v>
      </c>
      <c r="F63" s="192">
        <f>F64+F65+F66</f>
        <v>2.9299999999999997</v>
      </c>
      <c r="G63" s="11">
        <f>J63/F63</f>
        <v>1513.3748150682595</v>
      </c>
      <c r="H63" s="164">
        <v>2.9489999999999998</v>
      </c>
      <c r="I63" s="6" t="s">
        <v>38</v>
      </c>
      <c r="J63" s="230">
        <f>J64+J65+J66</f>
        <v>4434.1882081499998</v>
      </c>
      <c r="K63" s="7" t="s">
        <v>38</v>
      </c>
      <c r="L63" s="230">
        <f>L64+L65+L66</f>
        <v>4285545.4000000004</v>
      </c>
      <c r="M63" s="7" t="s">
        <v>38</v>
      </c>
      <c r="S63" s="213"/>
      <c r="T63" s="42"/>
    </row>
    <row r="64" spans="1:23" ht="39" x14ac:dyDescent="0.35">
      <c r="A64" s="306"/>
      <c r="B64" s="307"/>
      <c r="C64" s="308"/>
      <c r="D64" s="3" t="s">
        <v>125</v>
      </c>
      <c r="E64" s="227" t="s">
        <v>248</v>
      </c>
      <c r="F64" s="252">
        <v>0.2535</v>
      </c>
      <c r="G64" s="1">
        <f>1782.2*H64</f>
        <v>5255.7078000000001</v>
      </c>
      <c r="H64" s="164">
        <v>2.9489999999999998</v>
      </c>
      <c r="I64" s="6" t="s">
        <v>38</v>
      </c>
      <c r="J64" s="1">
        <f>G64*F64</f>
        <v>1332.3219273</v>
      </c>
      <c r="K64" s="7" t="s">
        <v>38</v>
      </c>
      <c r="L64" s="230">
        <f t="shared" ref="L64:L81" si="12">ROUND(J64*966478/1000,1)</f>
        <v>1287659.8</v>
      </c>
      <c r="M64" s="7" t="s">
        <v>38</v>
      </c>
      <c r="N64" s="24"/>
      <c r="T64" s="24"/>
      <c r="U64" s="24"/>
    </row>
    <row r="65" spans="1:21" ht="52.5" customHeight="1" x14ac:dyDescent="0.35">
      <c r="A65" s="306"/>
      <c r="B65" s="307"/>
      <c r="C65" s="308"/>
      <c r="D65" s="3" t="s">
        <v>253</v>
      </c>
      <c r="E65" s="227" t="s">
        <v>249</v>
      </c>
      <c r="F65" s="36">
        <v>0.18099999999999999</v>
      </c>
      <c r="G65" s="1">
        <f>2048.7*H65</f>
        <v>6041.6162999999988</v>
      </c>
      <c r="H65" s="164">
        <v>2.9489999999999998</v>
      </c>
      <c r="I65" s="6" t="s">
        <v>38</v>
      </c>
      <c r="J65" s="1">
        <f>G65*F65</f>
        <v>1093.5325502999997</v>
      </c>
      <c r="K65" s="7" t="s">
        <v>38</v>
      </c>
      <c r="L65" s="230">
        <f t="shared" si="12"/>
        <v>1056875.2</v>
      </c>
      <c r="M65" s="7" t="s">
        <v>38</v>
      </c>
    </row>
    <row r="66" spans="1:21" ht="14.5" x14ac:dyDescent="0.35">
      <c r="A66" s="306"/>
      <c r="B66" s="307"/>
      <c r="C66" s="308"/>
      <c r="D66" s="3" t="s">
        <v>254</v>
      </c>
      <c r="E66" s="227" t="s">
        <v>222</v>
      </c>
      <c r="F66" s="41">
        <v>2.4954999999999998</v>
      </c>
      <c r="G66" s="1">
        <f>272.9*H66</f>
        <v>804.7820999999999</v>
      </c>
      <c r="H66" s="164">
        <v>2.9489999999999998</v>
      </c>
      <c r="I66" s="6"/>
      <c r="J66" s="1">
        <f>G66*F66</f>
        <v>2008.3337305499997</v>
      </c>
      <c r="K66" s="7"/>
      <c r="L66" s="230">
        <f t="shared" si="12"/>
        <v>1941010.4</v>
      </c>
      <c r="M66" s="7"/>
    </row>
    <row r="67" spans="1:21" ht="26" x14ac:dyDescent="0.35">
      <c r="A67" s="306"/>
      <c r="B67" s="307"/>
      <c r="C67" s="308"/>
      <c r="D67" s="3" t="s">
        <v>89</v>
      </c>
      <c r="E67" s="227" t="s">
        <v>75</v>
      </c>
      <c r="F67" s="218">
        <v>0.54</v>
      </c>
      <c r="G67" s="1">
        <f>631*H67</f>
        <v>1860.819</v>
      </c>
      <c r="H67" s="164">
        <v>2.9489999999999998</v>
      </c>
      <c r="I67" s="6" t="s">
        <v>38</v>
      </c>
      <c r="J67" s="1">
        <f t="shared" ref="J67:J79" si="13">G67*F67</f>
        <v>1004.84226</v>
      </c>
      <c r="K67" s="7" t="s">
        <v>38</v>
      </c>
      <c r="L67" s="230">
        <f t="shared" si="12"/>
        <v>971157.9</v>
      </c>
      <c r="M67" s="7" t="s">
        <v>38</v>
      </c>
    </row>
    <row r="68" spans="1:21" ht="14.5" x14ac:dyDescent="0.35">
      <c r="A68" s="306"/>
      <c r="B68" s="307"/>
      <c r="C68" s="308"/>
      <c r="D68" s="3" t="s">
        <v>147</v>
      </c>
      <c r="E68" s="227" t="s">
        <v>45</v>
      </c>
      <c r="F68" s="218">
        <v>1.77</v>
      </c>
      <c r="G68" s="1">
        <f>1414.4*H68</f>
        <v>4171.0655999999999</v>
      </c>
      <c r="H68" s="164">
        <v>2.9489999999999998</v>
      </c>
      <c r="I68" s="6" t="s">
        <v>38</v>
      </c>
      <c r="J68" s="1">
        <f t="shared" si="13"/>
        <v>7382.7861119999998</v>
      </c>
      <c r="K68" s="7" t="s">
        <v>38</v>
      </c>
      <c r="L68" s="230">
        <f t="shared" si="12"/>
        <v>7135300.4000000004</v>
      </c>
      <c r="M68" s="7" t="s">
        <v>38</v>
      </c>
    </row>
    <row r="69" spans="1:21" ht="14.5" x14ac:dyDescent="0.35">
      <c r="A69" s="306"/>
      <c r="B69" s="307"/>
      <c r="C69" s="308"/>
      <c r="D69" s="3" t="s">
        <v>224</v>
      </c>
      <c r="E69" s="227" t="s">
        <v>231</v>
      </c>
      <c r="F69" s="252">
        <v>6.6699999999999995E-2</v>
      </c>
      <c r="G69" s="1">
        <f t="shared" ref="G69:G73" si="14">L69/(F69*966478)*1000</f>
        <v>4304.0029239476062</v>
      </c>
      <c r="H69" s="164">
        <v>2.9489999999999998</v>
      </c>
      <c r="I69" s="8" t="s">
        <v>38</v>
      </c>
      <c r="J69" s="1">
        <f t="shared" si="13"/>
        <v>287.07699502730532</v>
      </c>
      <c r="K69" s="9" t="s">
        <v>38</v>
      </c>
      <c r="L69" s="230">
        <v>277453.59999999998</v>
      </c>
      <c r="M69" s="9" t="s">
        <v>38</v>
      </c>
      <c r="O69" s="42"/>
      <c r="S69" s="207"/>
      <c r="U69" s="70"/>
    </row>
    <row r="70" spans="1:21" ht="14.5" x14ac:dyDescent="0.35">
      <c r="A70" s="306"/>
      <c r="B70" s="307"/>
      <c r="C70" s="308"/>
      <c r="D70" s="3" t="s">
        <v>225</v>
      </c>
      <c r="E70" s="227" t="s">
        <v>230</v>
      </c>
      <c r="F70" s="252">
        <v>2.5000000000000001E-2</v>
      </c>
      <c r="G70" s="1">
        <f t="shared" si="14"/>
        <v>5611.9477111739734</v>
      </c>
      <c r="H70" s="164">
        <v>2.9489999999999998</v>
      </c>
      <c r="I70" s="8" t="s">
        <v>38</v>
      </c>
      <c r="J70" s="1">
        <f t="shared" si="13"/>
        <v>140.29869277934935</v>
      </c>
      <c r="K70" s="9" t="s">
        <v>38</v>
      </c>
      <c r="L70" s="230">
        <v>135595.6</v>
      </c>
      <c r="M70" s="9" t="s">
        <v>38</v>
      </c>
      <c r="O70" s="42"/>
      <c r="S70" s="207"/>
      <c r="U70" s="70"/>
    </row>
    <row r="71" spans="1:21" ht="14.5" x14ac:dyDescent="0.35">
      <c r="A71" s="306"/>
      <c r="B71" s="307"/>
      <c r="C71" s="308"/>
      <c r="D71" s="3" t="s">
        <v>226</v>
      </c>
      <c r="E71" s="227" t="s">
        <v>232</v>
      </c>
      <c r="F71" s="252">
        <v>0.1236</v>
      </c>
      <c r="G71" s="1">
        <f t="shared" si="14"/>
        <v>1719.2064824222039</v>
      </c>
      <c r="H71" s="164">
        <v>2.9489999999999998</v>
      </c>
      <c r="I71" s="8" t="s">
        <v>38</v>
      </c>
      <c r="J71" s="1">
        <f t="shared" si="13"/>
        <v>212.49392122738439</v>
      </c>
      <c r="K71" s="9" t="s">
        <v>38</v>
      </c>
      <c r="L71" s="230">
        <v>205370.7</v>
      </c>
      <c r="M71" s="9" t="s">
        <v>38</v>
      </c>
      <c r="O71" s="42"/>
      <c r="S71" s="207"/>
      <c r="U71" s="70"/>
    </row>
    <row r="72" spans="1:21" ht="26" x14ac:dyDescent="0.35">
      <c r="A72" s="306"/>
      <c r="B72" s="307"/>
      <c r="C72" s="308"/>
      <c r="D72" s="3" t="s">
        <v>227</v>
      </c>
      <c r="E72" s="227" t="s">
        <v>233</v>
      </c>
      <c r="F72" s="252">
        <v>5.7500000000000002E-2</v>
      </c>
      <c r="G72" s="1">
        <f t="shared" si="14"/>
        <v>2154.2891234754034</v>
      </c>
      <c r="H72" s="164">
        <v>2.9489999999999998</v>
      </c>
      <c r="I72" s="8" t="s">
        <v>38</v>
      </c>
      <c r="J72" s="1">
        <f t="shared" si="13"/>
        <v>123.8716245998357</v>
      </c>
      <c r="K72" s="9" t="s">
        <v>38</v>
      </c>
      <c r="L72" s="230">
        <v>119719.2</v>
      </c>
      <c r="M72" s="9" t="s">
        <v>38</v>
      </c>
      <c r="O72" s="42"/>
      <c r="S72" s="207"/>
      <c r="U72" s="70"/>
    </row>
    <row r="73" spans="1:21" ht="39" x14ac:dyDescent="0.35">
      <c r="A73" s="306"/>
      <c r="B73" s="307"/>
      <c r="C73" s="308"/>
      <c r="D73" s="3" t="s">
        <v>228</v>
      </c>
      <c r="E73" s="227" t="s">
        <v>234</v>
      </c>
      <c r="F73" s="252">
        <v>1.0351E-3</v>
      </c>
      <c r="G73" s="1">
        <f t="shared" si="14"/>
        <v>29914.492986616919</v>
      </c>
      <c r="H73" s="164">
        <v>2.9489999999999998</v>
      </c>
      <c r="I73" s="8" t="s">
        <v>38</v>
      </c>
      <c r="J73" s="1">
        <f t="shared" si="13"/>
        <v>30.964491690447172</v>
      </c>
      <c r="K73" s="9" t="s">
        <v>38</v>
      </c>
      <c r="L73" s="230">
        <v>29926.5</v>
      </c>
      <c r="M73" s="9" t="s">
        <v>38</v>
      </c>
      <c r="O73" s="42"/>
      <c r="S73" s="207"/>
      <c r="U73" s="70"/>
    </row>
    <row r="74" spans="1:21" ht="39" x14ac:dyDescent="0.35">
      <c r="A74" s="309"/>
      <c r="B74" s="310"/>
      <c r="C74" s="311"/>
      <c r="D74" s="3" t="s">
        <v>229</v>
      </c>
      <c r="E74" s="227" t="s">
        <v>235</v>
      </c>
      <c r="F74" s="252">
        <v>5.0099999999999999E-2</v>
      </c>
      <c r="G74" s="1">
        <f>575.1*H74</f>
        <v>1695.9699000000001</v>
      </c>
      <c r="H74" s="164">
        <v>2.9489999999999998</v>
      </c>
      <c r="I74" s="8" t="s">
        <v>38</v>
      </c>
      <c r="J74" s="1">
        <f t="shared" si="13"/>
        <v>84.968091990000005</v>
      </c>
      <c r="K74" s="9" t="s">
        <v>38</v>
      </c>
      <c r="L74" s="230">
        <v>82119.8</v>
      </c>
      <c r="M74" s="9" t="s">
        <v>38</v>
      </c>
      <c r="O74" s="42"/>
      <c r="S74" s="207"/>
      <c r="U74" s="70"/>
    </row>
    <row r="75" spans="1:21" ht="25.5" customHeight="1" x14ac:dyDescent="0.35">
      <c r="A75" s="286" t="s">
        <v>157</v>
      </c>
      <c r="B75" s="286"/>
      <c r="C75" s="286"/>
      <c r="D75" s="3" t="s">
        <v>90</v>
      </c>
      <c r="E75" s="4" t="s">
        <v>47</v>
      </c>
      <c r="F75" s="45">
        <v>0.19145999999999999</v>
      </c>
      <c r="G75" s="1">
        <f>L75/(F75*966478)*1000</f>
        <v>99187.971232666387</v>
      </c>
      <c r="H75" s="164">
        <v>2.9489999999999998</v>
      </c>
      <c r="I75" s="6" t="s">
        <v>38</v>
      </c>
      <c r="J75" s="1">
        <f>L75/966.478</f>
        <v>18990.528972206306</v>
      </c>
      <c r="K75" s="7" t="s">
        <v>38</v>
      </c>
      <c r="L75" s="230">
        <f>L61-L62-L63-L67-L68-L79-0.4</f>
        <v>18353928.460000005</v>
      </c>
      <c r="M75" s="7" t="s">
        <v>38</v>
      </c>
      <c r="N75" s="197"/>
      <c r="O75" s="201"/>
      <c r="P75" s="198"/>
      <c r="Q75" s="199"/>
    </row>
    <row r="76" spans="1:21" ht="25.5" customHeight="1" x14ac:dyDescent="0.35">
      <c r="A76" s="294" t="s">
        <v>122</v>
      </c>
      <c r="B76" s="294"/>
      <c r="C76" s="294"/>
      <c r="D76" s="3" t="s">
        <v>119</v>
      </c>
      <c r="E76" s="4" t="s">
        <v>47</v>
      </c>
      <c r="F76" s="45">
        <v>1.001E-2</v>
      </c>
      <c r="G76" s="1">
        <f>100848.9*H76</f>
        <v>297403.40609999996</v>
      </c>
      <c r="H76" s="164">
        <v>2.9489999999999998</v>
      </c>
      <c r="I76" s="6" t="s">
        <v>38</v>
      </c>
      <c r="J76" s="1">
        <f t="shared" ref="J76" si="15">G76*F76</f>
        <v>2977.0080950609995</v>
      </c>
      <c r="K76" s="6" t="s">
        <v>38</v>
      </c>
      <c r="L76" s="230">
        <f t="shared" si="12"/>
        <v>2877212.8</v>
      </c>
      <c r="M76" s="7" t="s">
        <v>38</v>
      </c>
      <c r="N76" s="200"/>
    </row>
    <row r="77" spans="1:21" ht="25.5" customHeight="1" x14ac:dyDescent="0.35">
      <c r="A77" s="294" t="s">
        <v>124</v>
      </c>
      <c r="B77" s="294"/>
      <c r="C77" s="294"/>
      <c r="D77" s="3" t="s">
        <v>127</v>
      </c>
      <c r="E77" s="4" t="s">
        <v>47</v>
      </c>
      <c r="F77" s="5">
        <v>5.0000000000000001E-3</v>
      </c>
      <c r="G77" s="1">
        <f>36118.8*H77</f>
        <v>106514.34120000001</v>
      </c>
      <c r="H77" s="164">
        <v>2.9489999999999998</v>
      </c>
      <c r="I77" s="6" t="s">
        <v>38</v>
      </c>
      <c r="J77" s="1">
        <f>G77*F77</f>
        <v>532.57170600000006</v>
      </c>
      <c r="K77" s="6" t="s">
        <v>38</v>
      </c>
      <c r="L77" s="230">
        <f t="shared" si="12"/>
        <v>514718.8</v>
      </c>
      <c r="M77" s="7" t="s">
        <v>38</v>
      </c>
      <c r="N77" s="42"/>
      <c r="O77" s="42"/>
      <c r="Q77" s="208"/>
      <c r="R77" s="209"/>
      <c r="S77" s="210"/>
    </row>
    <row r="78" spans="1:21" ht="25.5" customHeight="1" x14ac:dyDescent="0.35">
      <c r="A78" s="295" t="s">
        <v>126</v>
      </c>
      <c r="B78" s="295"/>
      <c r="C78" s="295"/>
      <c r="D78" s="3" t="s">
        <v>178</v>
      </c>
      <c r="E78" s="4" t="s">
        <v>47</v>
      </c>
      <c r="F78" s="44">
        <f>3139/966478</f>
        <v>3.2478752749674593E-3</v>
      </c>
      <c r="G78" s="1">
        <f>L78/(F78*966478)*1000</f>
        <v>243937.41318891366</v>
      </c>
      <c r="H78" s="164">
        <v>2.9489999999999998</v>
      </c>
      <c r="I78" s="6" t="s">
        <v>38</v>
      </c>
      <c r="J78" s="1">
        <f>L78/966.478</f>
        <v>792.27829293579373</v>
      </c>
      <c r="K78" s="6" t="s">
        <v>38</v>
      </c>
      <c r="L78" s="230">
        <v>765719.54</v>
      </c>
      <c r="M78" s="7" t="s">
        <v>38</v>
      </c>
      <c r="S78" s="200"/>
    </row>
    <row r="79" spans="1:21" ht="15" customHeight="1" x14ac:dyDescent="0.35">
      <c r="A79" s="286" t="s">
        <v>179</v>
      </c>
      <c r="B79" s="286"/>
      <c r="C79" s="286"/>
      <c r="D79" s="3" t="s">
        <v>92</v>
      </c>
      <c r="E79" s="4" t="s">
        <v>49</v>
      </c>
      <c r="F79" s="45">
        <f>0.06296</f>
        <v>6.2960000000000002E-2</v>
      </c>
      <c r="G79" s="1">
        <f>20454.4*H79</f>
        <v>60320.025600000001</v>
      </c>
      <c r="H79" s="164">
        <v>2.9489999999999998</v>
      </c>
      <c r="I79" s="6" t="s">
        <v>38</v>
      </c>
      <c r="J79" s="1">
        <f t="shared" si="13"/>
        <v>3797.7488117760004</v>
      </c>
      <c r="K79" s="6" t="s">
        <v>38</v>
      </c>
      <c r="L79" s="230">
        <f t="shared" si="12"/>
        <v>3670440.7</v>
      </c>
      <c r="M79" s="7" t="s">
        <v>38</v>
      </c>
      <c r="P79" s="42"/>
      <c r="T79" s="24"/>
    </row>
    <row r="80" spans="1:21" ht="15" customHeight="1" x14ac:dyDescent="0.35">
      <c r="A80" s="294" t="s">
        <v>122</v>
      </c>
      <c r="B80" s="294"/>
      <c r="C80" s="294"/>
      <c r="D80" s="3" t="s">
        <v>148</v>
      </c>
      <c r="E80" s="4" t="s">
        <v>49</v>
      </c>
      <c r="F80" s="43">
        <v>6.9410000000000001E-3</v>
      </c>
      <c r="G80" s="1">
        <f>77638.3*H80</f>
        <v>228955.34669999999</v>
      </c>
      <c r="H80" s="164">
        <v>2.9489999999999998</v>
      </c>
      <c r="I80" s="6" t="s">
        <v>38</v>
      </c>
      <c r="J80" s="1">
        <f>G80*F80</f>
        <v>1589.1790614447</v>
      </c>
      <c r="K80" s="6" t="s">
        <v>38</v>
      </c>
      <c r="L80" s="230">
        <f t="shared" si="12"/>
        <v>1535906.6</v>
      </c>
      <c r="M80" s="7" t="s">
        <v>38</v>
      </c>
      <c r="Q80" s="208"/>
      <c r="R80" s="209"/>
      <c r="S80" s="211"/>
    </row>
    <row r="81" spans="1:17" ht="15.75" customHeight="1" x14ac:dyDescent="0.35">
      <c r="A81" s="294" t="s">
        <v>123</v>
      </c>
      <c r="B81" s="294"/>
      <c r="C81" s="294"/>
      <c r="D81" s="3" t="s">
        <v>149</v>
      </c>
      <c r="E81" s="4" t="s">
        <v>180</v>
      </c>
      <c r="F81" s="43">
        <v>4.9200000000000003E-4</v>
      </c>
      <c r="G81" s="1">
        <f>118713.5*H81</f>
        <v>350086.1115</v>
      </c>
      <c r="H81" s="164">
        <v>2.9489999999999998</v>
      </c>
      <c r="I81" s="6" t="s">
        <v>38</v>
      </c>
      <c r="J81" s="1">
        <f>F81*G81</f>
        <v>172.242366858</v>
      </c>
      <c r="K81" s="6" t="s">
        <v>38</v>
      </c>
      <c r="L81" s="230">
        <f t="shared" si="12"/>
        <v>166468.5</v>
      </c>
      <c r="M81" s="7" t="s">
        <v>38</v>
      </c>
    </row>
    <row r="82" spans="1:17" ht="37.5" customHeight="1" x14ac:dyDescent="0.35">
      <c r="A82" s="302" t="s">
        <v>91</v>
      </c>
      <c r="B82" s="302"/>
      <c r="C82" s="302"/>
      <c r="D82" s="3" t="s">
        <v>93</v>
      </c>
      <c r="E82" s="3"/>
      <c r="F82" s="9"/>
      <c r="G82" s="27"/>
      <c r="H82" s="29"/>
      <c r="I82" s="27"/>
      <c r="J82" s="33">
        <f>J106+J84</f>
        <v>587.26769000000002</v>
      </c>
      <c r="K82" s="27"/>
      <c r="L82" s="233">
        <v>569843</v>
      </c>
      <c r="M82" s="21">
        <f>L82/(K108+L108)*100</f>
        <v>1.2142778688940477</v>
      </c>
      <c r="O82" s="42"/>
    </row>
    <row r="83" spans="1:17" ht="15" customHeight="1" x14ac:dyDescent="0.35">
      <c r="A83" s="286" t="s">
        <v>85</v>
      </c>
      <c r="B83" s="286"/>
      <c r="C83" s="286"/>
      <c r="D83" s="3" t="s">
        <v>150</v>
      </c>
      <c r="E83" s="3" t="s">
        <v>41</v>
      </c>
      <c r="F83" s="5"/>
      <c r="G83" s="1"/>
      <c r="H83" s="164"/>
      <c r="I83" s="6" t="s">
        <v>38</v>
      </c>
      <c r="J83" s="1"/>
      <c r="K83" s="8" t="s">
        <v>38</v>
      </c>
      <c r="L83" s="230"/>
      <c r="M83" s="9" t="s">
        <v>38</v>
      </c>
      <c r="Q83" s="42"/>
    </row>
    <row r="84" spans="1:17" ht="37.5" customHeight="1" x14ac:dyDescent="0.35">
      <c r="A84" s="303" t="s">
        <v>87</v>
      </c>
      <c r="B84" s="304"/>
      <c r="C84" s="305"/>
      <c r="D84" s="3" t="s">
        <v>94</v>
      </c>
      <c r="E84" s="227" t="s">
        <v>73</v>
      </c>
      <c r="F84" s="22">
        <f>F85+F88</f>
        <v>8.5000000000000006E-3</v>
      </c>
      <c r="G84" s="11">
        <f>J84/F84</f>
        <v>2067.6670588235293</v>
      </c>
      <c r="H84" s="164">
        <v>2.9489999999999998</v>
      </c>
      <c r="I84" s="6" t="s">
        <v>38</v>
      </c>
      <c r="J84" s="11">
        <f>J86+J87+J89+J90</f>
        <v>17.57517</v>
      </c>
      <c r="K84" s="8" t="s">
        <v>38</v>
      </c>
      <c r="L84" s="11">
        <f>L86+L87+L89+L90</f>
        <v>17053.7147061</v>
      </c>
      <c r="M84" s="9" t="s">
        <v>38</v>
      </c>
      <c r="N84" s="24"/>
    </row>
    <row r="85" spans="1:17" ht="39" x14ac:dyDescent="0.35">
      <c r="A85" s="306"/>
      <c r="B85" s="307"/>
      <c r="C85" s="308"/>
      <c r="D85" s="3" t="s">
        <v>129</v>
      </c>
      <c r="E85" s="227" t="s">
        <v>248</v>
      </c>
      <c r="F85" s="22"/>
      <c r="G85" s="27" t="s">
        <v>38</v>
      </c>
      <c r="H85" s="9" t="s">
        <v>38</v>
      </c>
      <c r="I85" s="6" t="s">
        <v>38</v>
      </c>
      <c r="J85" s="1" t="s">
        <v>38</v>
      </c>
      <c r="K85" s="6" t="s">
        <v>38</v>
      </c>
      <c r="L85" s="1" t="s">
        <v>38</v>
      </c>
      <c r="M85" s="9" t="s">
        <v>38</v>
      </c>
    </row>
    <row r="86" spans="1:17" ht="26" x14ac:dyDescent="0.35">
      <c r="A86" s="306"/>
      <c r="B86" s="307"/>
      <c r="C86" s="308"/>
      <c r="D86" s="3" t="s">
        <v>170</v>
      </c>
      <c r="E86" s="227" t="s">
        <v>249</v>
      </c>
      <c r="F86" s="22"/>
      <c r="G86" s="11"/>
      <c r="H86" s="164"/>
      <c r="I86" s="6" t="s">
        <v>38</v>
      </c>
      <c r="J86" s="11"/>
      <c r="K86" s="8" t="s">
        <v>38</v>
      </c>
      <c r="L86" s="11"/>
      <c r="M86" s="9" t="s">
        <v>38</v>
      </c>
    </row>
    <row r="87" spans="1:17" ht="14.5" x14ac:dyDescent="0.35">
      <c r="A87" s="306"/>
      <c r="B87" s="307"/>
      <c r="C87" s="308"/>
      <c r="D87" s="3" t="s">
        <v>255</v>
      </c>
      <c r="E87" s="227" t="s">
        <v>222</v>
      </c>
      <c r="F87" s="22"/>
      <c r="G87" s="11"/>
      <c r="H87" s="164"/>
      <c r="I87" s="6" t="s">
        <v>38</v>
      </c>
      <c r="J87" s="11"/>
      <c r="K87" s="8" t="s">
        <v>38</v>
      </c>
      <c r="L87" s="11"/>
      <c r="M87" s="9"/>
    </row>
    <row r="88" spans="1:17" ht="26" x14ac:dyDescent="0.35">
      <c r="A88" s="306"/>
      <c r="B88" s="307"/>
      <c r="C88" s="308"/>
      <c r="D88" s="3" t="s">
        <v>256</v>
      </c>
      <c r="E88" s="227" t="s">
        <v>165</v>
      </c>
      <c r="F88" s="22">
        <v>8.5000000000000006E-3</v>
      </c>
      <c r="G88" s="27" t="s">
        <v>38</v>
      </c>
      <c r="H88" s="9" t="s">
        <v>38</v>
      </c>
      <c r="I88" s="9" t="s">
        <v>38</v>
      </c>
      <c r="J88" s="27" t="s">
        <v>38</v>
      </c>
      <c r="K88" s="9" t="s">
        <v>38</v>
      </c>
      <c r="L88" s="27" t="s">
        <v>38</v>
      </c>
      <c r="M88" s="9" t="s">
        <v>38</v>
      </c>
    </row>
    <row r="89" spans="1:17" ht="65" x14ac:dyDescent="0.35">
      <c r="A89" s="306"/>
      <c r="B89" s="307"/>
      <c r="C89" s="308"/>
      <c r="D89" s="3" t="s">
        <v>257</v>
      </c>
      <c r="E89" s="227" t="s">
        <v>217</v>
      </c>
      <c r="F89" s="22">
        <f>F88-F90</f>
        <v>7.000000000000001E-3</v>
      </c>
      <c r="G89" s="11">
        <f>ROUND(411*H89,2)</f>
        <v>1212.04</v>
      </c>
      <c r="H89" s="164">
        <v>2.9489999999999998</v>
      </c>
      <c r="I89" s="6" t="s">
        <v>38</v>
      </c>
      <c r="J89" s="11">
        <f>ROUND(G89*F89,3)</f>
        <v>8.484</v>
      </c>
      <c r="K89" s="8" t="s">
        <v>38</v>
      </c>
      <c r="L89" s="11">
        <f>J89*N11/1000</f>
        <v>8232.2797200000005</v>
      </c>
      <c r="M89" s="9" t="s">
        <v>38</v>
      </c>
      <c r="O89" s="24"/>
    </row>
    <row r="90" spans="1:17" ht="52" x14ac:dyDescent="0.35">
      <c r="A90" s="306"/>
      <c r="B90" s="307"/>
      <c r="C90" s="308"/>
      <c r="D90" s="3" t="s">
        <v>258</v>
      </c>
      <c r="E90" s="227" t="s">
        <v>218</v>
      </c>
      <c r="F90" s="22">
        <v>1.5E-3</v>
      </c>
      <c r="G90" s="11">
        <f>ROUND(2055.2*H90,2)</f>
        <v>6060.78</v>
      </c>
      <c r="H90" s="164">
        <v>2.9489999999999998</v>
      </c>
      <c r="I90" s="6" t="s">
        <v>38</v>
      </c>
      <c r="J90" s="11">
        <f>G90*F90</f>
        <v>9.09117</v>
      </c>
      <c r="K90" s="8" t="s">
        <v>38</v>
      </c>
      <c r="L90" s="11">
        <f>J90*N11/1000</f>
        <v>8821.4349860999992</v>
      </c>
      <c r="M90" s="9"/>
      <c r="O90" s="24"/>
    </row>
    <row r="91" spans="1:17" ht="37.5" customHeight="1" x14ac:dyDescent="0.35">
      <c r="A91" s="306"/>
      <c r="B91" s="307"/>
      <c r="C91" s="308"/>
      <c r="D91" s="3" t="s">
        <v>95</v>
      </c>
      <c r="E91" s="227" t="s">
        <v>75</v>
      </c>
      <c r="F91" s="164"/>
      <c r="G91" s="11"/>
      <c r="H91" s="164">
        <v>2.9489999999999998</v>
      </c>
      <c r="I91" s="6" t="s">
        <v>38</v>
      </c>
      <c r="J91" s="11"/>
      <c r="K91" s="8" t="s">
        <v>38</v>
      </c>
      <c r="L91" s="11"/>
      <c r="M91" s="9" t="s">
        <v>38</v>
      </c>
      <c r="O91" s="24"/>
    </row>
    <row r="92" spans="1:17" ht="14.5" x14ac:dyDescent="0.35">
      <c r="A92" s="306"/>
      <c r="B92" s="307"/>
      <c r="C92" s="308"/>
      <c r="D92" s="3" t="s">
        <v>151</v>
      </c>
      <c r="E92" s="227" t="s">
        <v>45</v>
      </c>
      <c r="F92" s="164"/>
      <c r="G92" s="11"/>
      <c r="H92" s="164">
        <v>2.9489999999999998</v>
      </c>
      <c r="I92" s="6" t="s">
        <v>38</v>
      </c>
      <c r="J92" s="11"/>
      <c r="K92" s="8" t="s">
        <v>38</v>
      </c>
      <c r="L92" s="11"/>
      <c r="M92" s="9" t="s">
        <v>38</v>
      </c>
      <c r="O92" s="24"/>
    </row>
    <row r="93" spans="1:17" ht="14.5" x14ac:dyDescent="0.35">
      <c r="A93" s="306"/>
      <c r="B93" s="307"/>
      <c r="C93" s="308"/>
      <c r="D93" s="3" t="s">
        <v>259</v>
      </c>
      <c r="E93" s="227" t="s">
        <v>231</v>
      </c>
      <c r="F93" s="164"/>
      <c r="G93" s="11"/>
      <c r="H93" s="164">
        <v>2.9489999999999998</v>
      </c>
      <c r="I93" s="6" t="s">
        <v>38</v>
      </c>
      <c r="J93" s="11"/>
      <c r="K93" s="8" t="s">
        <v>38</v>
      </c>
      <c r="L93" s="11"/>
      <c r="M93" s="9" t="s">
        <v>38</v>
      </c>
      <c r="O93" s="24"/>
    </row>
    <row r="94" spans="1:17" ht="14.5" x14ac:dyDescent="0.35">
      <c r="A94" s="306"/>
      <c r="B94" s="307"/>
      <c r="C94" s="308"/>
      <c r="D94" s="3" t="s">
        <v>260</v>
      </c>
      <c r="E94" s="227" t="s">
        <v>230</v>
      </c>
      <c r="F94" s="164"/>
      <c r="G94" s="11"/>
      <c r="H94" s="164">
        <v>2.9489999999999998</v>
      </c>
      <c r="I94" s="6" t="s">
        <v>38</v>
      </c>
      <c r="J94" s="11"/>
      <c r="K94" s="8" t="s">
        <v>38</v>
      </c>
      <c r="L94" s="11"/>
      <c r="M94" s="9" t="s">
        <v>38</v>
      </c>
      <c r="O94" s="24"/>
    </row>
    <row r="95" spans="1:17" ht="14.5" x14ac:dyDescent="0.35">
      <c r="A95" s="306"/>
      <c r="B95" s="307"/>
      <c r="C95" s="308"/>
      <c r="D95" s="3" t="s">
        <v>261</v>
      </c>
      <c r="E95" s="227" t="s">
        <v>232</v>
      </c>
      <c r="F95" s="164"/>
      <c r="G95" s="11"/>
      <c r="H95" s="164">
        <v>2.9489999999999998</v>
      </c>
      <c r="I95" s="6" t="s">
        <v>38</v>
      </c>
      <c r="J95" s="11"/>
      <c r="K95" s="8" t="s">
        <v>38</v>
      </c>
      <c r="L95" s="11"/>
      <c r="M95" s="9" t="s">
        <v>38</v>
      </c>
      <c r="O95" s="24"/>
    </row>
    <row r="96" spans="1:17" ht="26" x14ac:dyDescent="0.35">
      <c r="A96" s="306"/>
      <c r="B96" s="307"/>
      <c r="C96" s="308"/>
      <c r="D96" s="3" t="s">
        <v>262</v>
      </c>
      <c r="E96" s="227" t="s">
        <v>233</v>
      </c>
      <c r="F96" s="164"/>
      <c r="G96" s="11"/>
      <c r="H96" s="164">
        <v>2.9489999999999998</v>
      </c>
      <c r="I96" s="6" t="s">
        <v>38</v>
      </c>
      <c r="J96" s="11"/>
      <c r="K96" s="8" t="s">
        <v>38</v>
      </c>
      <c r="L96" s="11"/>
      <c r="M96" s="9" t="s">
        <v>38</v>
      </c>
      <c r="O96" s="24"/>
    </row>
    <row r="97" spans="1:16" ht="39" x14ac:dyDescent="0.35">
      <c r="A97" s="306"/>
      <c r="B97" s="307"/>
      <c r="C97" s="308"/>
      <c r="D97" s="3" t="s">
        <v>263</v>
      </c>
      <c r="E97" s="227" t="s">
        <v>234</v>
      </c>
      <c r="F97" s="164"/>
      <c r="G97" s="11"/>
      <c r="H97" s="164">
        <v>2.9489999999999998</v>
      </c>
      <c r="I97" s="6" t="s">
        <v>38</v>
      </c>
      <c r="J97" s="11"/>
      <c r="K97" s="8" t="s">
        <v>38</v>
      </c>
      <c r="L97" s="11"/>
      <c r="M97" s="9" t="s">
        <v>38</v>
      </c>
      <c r="O97" s="24"/>
    </row>
    <row r="98" spans="1:16" ht="39" x14ac:dyDescent="0.35">
      <c r="A98" s="309"/>
      <c r="B98" s="310"/>
      <c r="C98" s="311"/>
      <c r="D98" s="3" t="s">
        <v>264</v>
      </c>
      <c r="E98" s="227" t="s">
        <v>235</v>
      </c>
      <c r="F98" s="164"/>
      <c r="G98" s="11"/>
      <c r="H98" s="164">
        <v>2.9489999999999998</v>
      </c>
      <c r="I98" s="6" t="s">
        <v>38</v>
      </c>
      <c r="J98" s="11"/>
      <c r="K98" s="8" t="s">
        <v>38</v>
      </c>
      <c r="L98" s="11"/>
      <c r="M98" s="9" t="s">
        <v>38</v>
      </c>
      <c r="O98" s="24"/>
    </row>
    <row r="99" spans="1:16" ht="25.5" customHeight="1" x14ac:dyDescent="0.35">
      <c r="A99" s="286" t="s">
        <v>157</v>
      </c>
      <c r="B99" s="286"/>
      <c r="C99" s="286"/>
      <c r="D99" s="3" t="s">
        <v>96</v>
      </c>
      <c r="E99" s="227" t="s">
        <v>47</v>
      </c>
      <c r="F99" s="45"/>
      <c r="G99" s="1"/>
      <c r="H99" s="164">
        <v>2.9489999999999998</v>
      </c>
      <c r="I99" s="6" t="s">
        <v>38</v>
      </c>
      <c r="J99" s="1"/>
      <c r="K99" s="8" t="s">
        <v>38</v>
      </c>
      <c r="L99" s="11"/>
      <c r="M99" s="9" t="s">
        <v>38</v>
      </c>
      <c r="O99" s="24"/>
    </row>
    <row r="100" spans="1:16" ht="25.5" customHeight="1" x14ac:dyDescent="0.35">
      <c r="A100" s="294" t="s">
        <v>122</v>
      </c>
      <c r="B100" s="294"/>
      <c r="C100" s="294"/>
      <c r="D100" s="3" t="s">
        <v>130</v>
      </c>
      <c r="E100" s="227" t="s">
        <v>47</v>
      </c>
      <c r="F100" s="26"/>
      <c r="G100" s="11"/>
      <c r="H100" s="164">
        <v>2.9489999999999998</v>
      </c>
      <c r="I100" s="6" t="s">
        <v>38</v>
      </c>
      <c r="J100" s="11"/>
      <c r="K100" s="8" t="s">
        <v>38</v>
      </c>
      <c r="L100" s="11"/>
      <c r="M100" s="9" t="s">
        <v>38</v>
      </c>
      <c r="O100" s="24"/>
    </row>
    <row r="101" spans="1:16" ht="25.5" customHeight="1" x14ac:dyDescent="0.35">
      <c r="A101" s="294" t="s">
        <v>124</v>
      </c>
      <c r="B101" s="294"/>
      <c r="C101" s="294"/>
      <c r="D101" s="3" t="s">
        <v>131</v>
      </c>
      <c r="E101" s="227" t="s">
        <v>47</v>
      </c>
      <c r="F101" s="26"/>
      <c r="G101" s="11"/>
      <c r="H101" s="164">
        <v>2.9489999999999998</v>
      </c>
      <c r="I101" s="6" t="s">
        <v>38</v>
      </c>
      <c r="J101" s="11"/>
      <c r="K101" s="8" t="s">
        <v>38</v>
      </c>
      <c r="L101" s="11"/>
      <c r="M101" s="9" t="s">
        <v>38</v>
      </c>
      <c r="O101" s="24"/>
    </row>
    <row r="102" spans="1:16" ht="25.5" customHeight="1" x14ac:dyDescent="0.35">
      <c r="A102" s="295" t="s">
        <v>126</v>
      </c>
      <c r="B102" s="295"/>
      <c r="C102" s="295"/>
      <c r="D102" s="3" t="s">
        <v>159</v>
      </c>
      <c r="E102" s="227" t="s">
        <v>47</v>
      </c>
      <c r="F102" s="26"/>
      <c r="G102" s="11"/>
      <c r="H102" s="164">
        <v>2.9489999999999998</v>
      </c>
      <c r="I102" s="6" t="s">
        <v>38</v>
      </c>
      <c r="J102" s="11"/>
      <c r="K102" s="8" t="s">
        <v>38</v>
      </c>
      <c r="L102" s="11"/>
      <c r="M102" s="9" t="s">
        <v>38</v>
      </c>
      <c r="O102" s="24"/>
    </row>
    <row r="103" spans="1:16" ht="15" customHeight="1" x14ac:dyDescent="0.35">
      <c r="A103" s="286" t="s">
        <v>179</v>
      </c>
      <c r="B103" s="286"/>
      <c r="C103" s="286"/>
      <c r="D103" s="3" t="s">
        <v>97</v>
      </c>
      <c r="E103" s="4" t="s">
        <v>49</v>
      </c>
      <c r="F103" s="26"/>
      <c r="G103" s="11"/>
      <c r="H103" s="164">
        <v>2.9489999999999998</v>
      </c>
      <c r="I103" s="6" t="s">
        <v>38</v>
      </c>
      <c r="J103" s="11"/>
      <c r="K103" s="8" t="s">
        <v>38</v>
      </c>
      <c r="L103" s="11"/>
      <c r="M103" s="9" t="s">
        <v>38</v>
      </c>
      <c r="O103" s="24"/>
    </row>
    <row r="104" spans="1:16" ht="15" customHeight="1" x14ac:dyDescent="0.35">
      <c r="A104" s="294" t="s">
        <v>122</v>
      </c>
      <c r="B104" s="294"/>
      <c r="C104" s="294"/>
      <c r="D104" s="3" t="s">
        <v>152</v>
      </c>
      <c r="E104" s="4" t="s">
        <v>49</v>
      </c>
      <c r="F104" s="26"/>
      <c r="G104" s="11"/>
      <c r="H104" s="164">
        <v>2.9489999999999998</v>
      </c>
      <c r="I104" s="6" t="s">
        <v>38</v>
      </c>
      <c r="J104" s="11"/>
      <c r="K104" s="8" t="s">
        <v>38</v>
      </c>
      <c r="L104" s="11"/>
      <c r="M104" s="9" t="s">
        <v>38</v>
      </c>
      <c r="O104" s="24"/>
    </row>
    <row r="105" spans="1:16" ht="15" customHeight="1" x14ac:dyDescent="0.35">
      <c r="A105" s="294" t="s">
        <v>123</v>
      </c>
      <c r="B105" s="294"/>
      <c r="C105" s="294"/>
      <c r="D105" s="3" t="s">
        <v>153</v>
      </c>
      <c r="E105" s="4" t="s">
        <v>177</v>
      </c>
      <c r="F105" s="164"/>
      <c r="G105" s="11"/>
      <c r="H105" s="164">
        <v>2.9489999999999998</v>
      </c>
      <c r="I105" s="6" t="s">
        <v>38</v>
      </c>
      <c r="J105" s="11"/>
      <c r="K105" s="8" t="s">
        <v>38</v>
      </c>
      <c r="L105" s="11"/>
      <c r="M105" s="9" t="s">
        <v>38</v>
      </c>
      <c r="O105" s="24"/>
    </row>
    <row r="106" spans="1:16" ht="15" customHeight="1" x14ac:dyDescent="0.35">
      <c r="A106" s="312" t="s">
        <v>181</v>
      </c>
      <c r="B106" s="312"/>
      <c r="C106" s="312"/>
      <c r="D106" s="3" t="s">
        <v>99</v>
      </c>
      <c r="E106" s="4" t="s">
        <v>52</v>
      </c>
      <c r="F106" s="43">
        <v>9.1999999999999998E-2</v>
      </c>
      <c r="G106" s="11">
        <f>ROUND(2099.8*H106,2)</f>
        <v>6192.31</v>
      </c>
      <c r="H106" s="164">
        <v>2.9489999999999998</v>
      </c>
      <c r="I106" s="6" t="s">
        <v>38</v>
      </c>
      <c r="J106" s="11">
        <f>G106*F106</f>
        <v>569.69252000000006</v>
      </c>
      <c r="K106" s="8" t="s">
        <v>38</v>
      </c>
      <c r="L106" s="11">
        <f>J106*N11/1000</f>
        <v>552789.74293160008</v>
      </c>
      <c r="M106" s="9" t="s">
        <v>38</v>
      </c>
      <c r="O106" s="24"/>
    </row>
    <row r="107" spans="1:16" ht="14.5" x14ac:dyDescent="0.35">
      <c r="A107" s="312" t="s">
        <v>155</v>
      </c>
      <c r="B107" s="312"/>
      <c r="C107" s="312"/>
      <c r="D107" s="3" t="s">
        <v>154</v>
      </c>
      <c r="E107" s="4" t="s">
        <v>55</v>
      </c>
      <c r="F107" s="43" t="s">
        <v>38</v>
      </c>
      <c r="G107" s="43" t="s">
        <v>38</v>
      </c>
      <c r="H107" s="164">
        <v>2.9489999999999998</v>
      </c>
      <c r="I107" s="6" t="s">
        <v>38</v>
      </c>
      <c r="J107" s="1"/>
      <c r="K107" s="8" t="s">
        <v>38</v>
      </c>
      <c r="L107" s="230"/>
      <c r="M107" s="9" t="s">
        <v>38</v>
      </c>
    </row>
    <row r="108" spans="1:16" ht="22.5" customHeight="1" x14ac:dyDescent="0.35">
      <c r="A108" s="292" t="s">
        <v>98</v>
      </c>
      <c r="B108" s="292"/>
      <c r="C108" s="292"/>
      <c r="D108" s="20" t="s">
        <v>156</v>
      </c>
      <c r="E108" s="20"/>
      <c r="F108" s="19" t="s">
        <v>38</v>
      </c>
      <c r="G108" s="19" t="s">
        <v>38</v>
      </c>
      <c r="H108" s="164">
        <v>2.9489999999999998</v>
      </c>
      <c r="I108" s="21">
        <f>прил6!D12</f>
        <v>9866.1371904403641</v>
      </c>
      <c r="J108" s="21">
        <f>J34</f>
        <v>38650.793251372503</v>
      </c>
      <c r="K108" s="21">
        <f>K11+K29</f>
        <v>9573408.8999999985</v>
      </c>
      <c r="L108" s="21">
        <f>L34</f>
        <v>37355141.359999999</v>
      </c>
      <c r="M108" s="46"/>
      <c r="N108" s="24"/>
      <c r="O108" s="24"/>
      <c r="P108" s="24"/>
    </row>
    <row r="109" spans="1:16" ht="14.65" hidden="1" customHeight="1" x14ac:dyDescent="0.3">
      <c r="L109" s="47"/>
      <c r="N109" s="24"/>
      <c r="O109" s="24"/>
    </row>
    <row r="110" spans="1:16" ht="14.5" hidden="1" x14ac:dyDescent="0.3">
      <c r="A110" s="316" t="s">
        <v>160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</row>
    <row r="111" spans="1:16" ht="14.5" hidden="1" x14ac:dyDescent="0.3">
      <c r="A111" s="317" t="s">
        <v>162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42"/>
      <c r="O111" s="42"/>
    </row>
    <row r="112" spans="1:16" ht="14.5" hidden="1" x14ac:dyDescent="0.3">
      <c r="A112" s="317" t="s">
        <v>163</v>
      </c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  <row r="113" spans="1:16" ht="27" hidden="1" customHeight="1" x14ac:dyDescent="0.3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</row>
    <row r="114" spans="1:16" ht="28.9" hidden="1" customHeight="1" x14ac:dyDescent="0.3">
      <c r="A114" s="319" t="s">
        <v>100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</row>
    <row r="115" spans="1:16" ht="28.9" customHeight="1" x14ac:dyDescent="0.35">
      <c r="A115" s="325" t="s">
        <v>305</v>
      </c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</row>
    <row r="116" spans="1:16" ht="37.5" customHeight="1" x14ac:dyDescent="0.35">
      <c r="C116" s="253" t="s">
        <v>101</v>
      </c>
      <c r="D116" s="320" t="s">
        <v>102</v>
      </c>
      <c r="E116" s="321"/>
      <c r="F116" s="322"/>
      <c r="G116" s="253" t="s">
        <v>103</v>
      </c>
      <c r="H116" s="254"/>
      <c r="I116" s="323" t="s">
        <v>104</v>
      </c>
      <c r="J116" s="324"/>
      <c r="M116" s="51"/>
    </row>
    <row r="117" spans="1:16" ht="37.5" customHeight="1" x14ac:dyDescent="0.35">
      <c r="C117" s="52" t="s">
        <v>105</v>
      </c>
      <c r="D117" s="313">
        <f>K12+L62</f>
        <v>3007777.9435000001</v>
      </c>
      <c r="E117" s="314"/>
      <c r="F117" s="315"/>
      <c r="G117" s="53">
        <f>D117/D127*100</f>
        <v>6.409270951567307</v>
      </c>
      <c r="H117" s="53"/>
      <c r="I117" s="54">
        <f>D117</f>
        <v>3007777.9435000001</v>
      </c>
      <c r="J117" s="49"/>
      <c r="M117" s="47"/>
    </row>
    <row r="118" spans="1:16" ht="37.5" customHeight="1" x14ac:dyDescent="0.35">
      <c r="C118" s="52" t="s">
        <v>106</v>
      </c>
      <c r="D118" s="313">
        <f>K15+L36</f>
        <v>5257642.9667126201</v>
      </c>
      <c r="E118" s="314"/>
      <c r="F118" s="315"/>
      <c r="G118" s="53">
        <f>D118/D127*100</f>
        <v>11.203506034441851</v>
      </c>
      <c r="H118" s="53"/>
      <c r="I118" s="54">
        <f>D118</f>
        <v>5257642.9667126201</v>
      </c>
      <c r="J118" s="49"/>
      <c r="L118" s="47"/>
    </row>
    <row r="119" spans="1:16" ht="37.5" customHeight="1" x14ac:dyDescent="0.35">
      <c r="C119" s="52" t="s">
        <v>107</v>
      </c>
      <c r="D119" s="313">
        <f>K19+L68</f>
        <v>7681604.8500011843</v>
      </c>
      <c r="E119" s="314"/>
      <c r="F119" s="315"/>
      <c r="G119" s="53">
        <f>D119/D127*100</f>
        <v>16.368723938855869</v>
      </c>
      <c r="H119" s="53"/>
      <c r="I119" s="54">
        <f>D119</f>
        <v>7681604.8500011843</v>
      </c>
      <c r="J119" s="49"/>
    </row>
    <row r="120" spans="1:16" ht="37.5" customHeight="1" x14ac:dyDescent="0.35">
      <c r="C120" s="52" t="s">
        <v>108</v>
      </c>
      <c r="D120" s="313">
        <f>L67</f>
        <v>971157.9</v>
      </c>
      <c r="E120" s="314"/>
      <c r="F120" s="315"/>
      <c r="G120" s="53">
        <f>D120/D127*100</f>
        <v>2.0694393784309986</v>
      </c>
      <c r="H120" s="53"/>
      <c r="I120" s="54">
        <f>D120</f>
        <v>971157.9</v>
      </c>
      <c r="J120" s="49"/>
      <c r="L120" s="47"/>
    </row>
    <row r="121" spans="1:16" ht="37.5" customHeight="1" x14ac:dyDescent="0.35">
      <c r="C121" s="52" t="s">
        <v>109</v>
      </c>
      <c r="D121" s="313">
        <f>K24+L79</f>
        <v>3825433.4469024162</v>
      </c>
      <c r="E121" s="314"/>
      <c r="F121" s="315"/>
      <c r="G121" s="53">
        <f>D121/D127*100</f>
        <v>8.1516122296764397</v>
      </c>
      <c r="H121" s="53"/>
      <c r="I121" s="49"/>
      <c r="J121" s="49"/>
    </row>
    <row r="122" spans="1:16" ht="37.5" customHeight="1" x14ac:dyDescent="0.35">
      <c r="C122" s="52" t="s">
        <v>110</v>
      </c>
      <c r="D122" s="313">
        <f>K22+L51+K28</f>
        <v>21848821.720584456</v>
      </c>
      <c r="E122" s="314"/>
      <c r="F122" s="315"/>
      <c r="G122" s="53">
        <f>D122/D127*100</f>
        <v>46.557631916391763</v>
      </c>
      <c r="H122" s="53"/>
      <c r="I122" s="49"/>
      <c r="J122" s="49"/>
    </row>
    <row r="123" spans="1:16" ht="37.5" customHeight="1" x14ac:dyDescent="0.35">
      <c r="C123" s="55" t="s">
        <v>111</v>
      </c>
      <c r="D123" s="313">
        <f>K28+L54</f>
        <v>983880.74</v>
      </c>
      <c r="E123" s="326"/>
      <c r="F123" s="327"/>
      <c r="G123" s="53">
        <f>D123/D127*100</f>
        <v>2.096550465208419</v>
      </c>
      <c r="H123" s="53"/>
      <c r="I123" s="49"/>
      <c r="J123" s="49"/>
    </row>
    <row r="124" spans="1:16" s="15" customFormat="1" ht="37.5" customHeight="1" x14ac:dyDescent="0.35">
      <c r="A124" s="163"/>
      <c r="B124" s="163"/>
      <c r="C124" s="55" t="s">
        <v>112</v>
      </c>
      <c r="D124" s="313">
        <f>L53</f>
        <v>514718.8</v>
      </c>
      <c r="E124" s="314"/>
      <c r="F124" s="315"/>
      <c r="G124" s="53">
        <f>D124/D127*100</f>
        <v>1.0968137658549135</v>
      </c>
      <c r="H124" s="53"/>
      <c r="I124" s="49"/>
      <c r="J124" s="49"/>
      <c r="N124" s="163"/>
      <c r="O124" s="163"/>
      <c r="P124" s="163"/>
    </row>
    <row r="125" spans="1:16" s="15" customFormat="1" ht="37.5" customHeight="1" x14ac:dyDescent="0.35">
      <c r="A125" s="163"/>
      <c r="B125" s="163"/>
      <c r="C125" s="52" t="s">
        <v>113</v>
      </c>
      <c r="D125" s="313">
        <f>L106</f>
        <v>552789.74293160008</v>
      </c>
      <c r="E125" s="314"/>
      <c r="F125" s="315"/>
      <c r="G125" s="53">
        <f>D125/D127*100</f>
        <v>1.1779390993116587</v>
      </c>
      <c r="H125" s="53"/>
      <c r="I125" s="49"/>
      <c r="J125" s="49"/>
      <c r="N125" s="163"/>
      <c r="O125" s="163"/>
      <c r="P125" s="163"/>
    </row>
    <row r="126" spans="1:16" s="15" customFormat="1" ht="37.5" customHeight="1" x14ac:dyDescent="0.35">
      <c r="A126" s="163"/>
      <c r="B126" s="163"/>
      <c r="C126" s="52" t="s">
        <v>114</v>
      </c>
      <c r="D126" s="313">
        <f>K27+L59+K29</f>
        <v>3783321.7470054282</v>
      </c>
      <c r="E126" s="314"/>
      <c r="F126" s="315"/>
      <c r="G126" s="53">
        <f>D126/D127*100</f>
        <v>8.0618764513241299</v>
      </c>
      <c r="H126" s="53"/>
      <c r="I126" s="49"/>
      <c r="J126" s="49"/>
      <c r="N126" s="163"/>
      <c r="O126" s="163"/>
      <c r="P126" s="163"/>
    </row>
    <row r="127" spans="1:16" s="15" customFormat="1" ht="37.5" customHeight="1" x14ac:dyDescent="0.35">
      <c r="A127" s="163"/>
      <c r="B127" s="163"/>
      <c r="C127" s="52" t="s">
        <v>115</v>
      </c>
      <c r="D127" s="313">
        <f>D117+D118+D119+D120+D121+D122+D125+D126</f>
        <v>46928550.317637697</v>
      </c>
      <c r="E127" s="314"/>
      <c r="F127" s="315"/>
      <c r="G127" s="54">
        <f>G117+G118+G119+G120+G121+G122+G125+G126</f>
        <v>100.00000000000001</v>
      </c>
      <c r="H127" s="54"/>
      <c r="I127" s="54">
        <f>I117+I118+I119+I120</f>
        <v>16918183.660213802</v>
      </c>
      <c r="J127" s="49">
        <f>I127/D127*100</f>
        <v>36.050940303296024</v>
      </c>
      <c r="N127" s="163"/>
      <c r="O127" s="163"/>
      <c r="P127" s="163"/>
    </row>
    <row r="129" spans="1:16" s="15" customFormat="1" ht="37.5" customHeight="1" x14ac:dyDescent="0.35">
      <c r="A129" s="163"/>
      <c r="B129" s="163"/>
      <c r="C129" s="163"/>
      <c r="D129" s="163"/>
      <c r="E129" s="163"/>
      <c r="F129" s="47"/>
      <c r="K129" s="47"/>
      <c r="N129" s="163"/>
      <c r="O129" s="163"/>
      <c r="P129" s="163"/>
    </row>
    <row r="130" spans="1:16" s="15" customFormat="1" ht="37.5" customHeight="1" x14ac:dyDescent="0.35">
      <c r="A130" s="163"/>
      <c r="B130" s="163"/>
      <c r="C130" s="163"/>
      <c r="D130" s="163"/>
      <c r="E130" s="163"/>
      <c r="F130" s="47"/>
      <c r="K130" s="47"/>
      <c r="L130" s="47"/>
      <c r="N130" s="163"/>
      <c r="O130" s="163"/>
      <c r="P130" s="163"/>
    </row>
  </sheetData>
  <mergeCells count="90">
    <mergeCell ref="D123:F123"/>
    <mergeCell ref="D124:F124"/>
    <mergeCell ref="D125:F125"/>
    <mergeCell ref="D126:F126"/>
    <mergeCell ref="D127:F127"/>
    <mergeCell ref="D122:F122"/>
    <mergeCell ref="A110:M110"/>
    <mergeCell ref="A111:M111"/>
    <mergeCell ref="A112:M112"/>
    <mergeCell ref="A113:M113"/>
    <mergeCell ref="A114:M114"/>
    <mergeCell ref="D116:F116"/>
    <mergeCell ref="I116:J116"/>
    <mergeCell ref="D117:F117"/>
    <mergeCell ref="D118:F118"/>
    <mergeCell ref="D119:F119"/>
    <mergeCell ref="D120:F120"/>
    <mergeCell ref="D121:F121"/>
    <mergeCell ref="A115:M115"/>
    <mergeCell ref="A108:C108"/>
    <mergeCell ref="A83:C83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4:C98"/>
    <mergeCell ref="A82:C82"/>
    <mergeCell ref="A60:C60"/>
    <mergeCell ref="A61:C61"/>
    <mergeCell ref="A62:C62"/>
    <mergeCell ref="A75:C75"/>
    <mergeCell ref="A76:C76"/>
    <mergeCell ref="A77:C77"/>
    <mergeCell ref="A78:C78"/>
    <mergeCell ref="A79:C79"/>
    <mergeCell ref="A80:C80"/>
    <mergeCell ref="A81:C81"/>
    <mergeCell ref="A63:C74"/>
    <mergeCell ref="A59:C59"/>
    <mergeCell ref="A35:C35"/>
    <mergeCell ref="A51:C51"/>
    <mergeCell ref="A52:C52"/>
    <mergeCell ref="A53:C53"/>
    <mergeCell ref="A54:C54"/>
    <mergeCell ref="A55:C55"/>
    <mergeCell ref="A56:C56"/>
    <mergeCell ref="A57:C57"/>
    <mergeCell ref="A58:C58"/>
    <mergeCell ref="B36:B50"/>
    <mergeCell ref="A36:A50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I7:J7"/>
    <mergeCell ref="K7:M7"/>
    <mergeCell ref="I8:J8"/>
    <mergeCell ref="K8:L8"/>
    <mergeCell ref="M8:M9"/>
    <mergeCell ref="A10:C10"/>
    <mergeCell ref="A11:C11"/>
    <mergeCell ref="A12:C12"/>
    <mergeCell ref="A13:C13"/>
    <mergeCell ref="A15:C19"/>
    <mergeCell ref="A20:C21"/>
    <mergeCell ref="A14:C14"/>
    <mergeCell ref="I1:M1"/>
    <mergeCell ref="A3:M3"/>
    <mergeCell ref="A4:M4"/>
    <mergeCell ref="A5:M5"/>
    <mergeCell ref="A7:C9"/>
    <mergeCell ref="D7:D9"/>
    <mergeCell ref="E7:E9"/>
    <mergeCell ref="F7:F9"/>
    <mergeCell ref="G7:G9"/>
    <mergeCell ref="H7:H9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0" fitToHeight="2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130"/>
  <sheetViews>
    <sheetView view="pageBreakPreview" topLeftCell="D103" zoomScale="55" zoomScaleNormal="80" zoomScaleSheetLayoutView="55" workbookViewId="0">
      <selection activeCell="N39" sqref="N39"/>
    </sheetView>
  </sheetViews>
  <sheetFormatPr defaultColWidth="9.26953125" defaultRowHeight="14.5" x14ac:dyDescent="0.35"/>
  <cols>
    <col min="1" max="1" width="9.26953125" style="163" customWidth="1"/>
    <col min="2" max="2" width="9.26953125" style="163"/>
    <col min="3" max="3" width="44.26953125" style="163" customWidth="1"/>
    <col min="4" max="4" width="9" style="163" customWidth="1"/>
    <col min="5" max="5" width="27.26953125" style="163" customWidth="1"/>
    <col min="6" max="6" width="21.7265625" style="15" customWidth="1"/>
    <col min="7" max="7" width="18.7265625" style="15" customWidth="1"/>
    <col min="8" max="8" width="10.26953125" style="15" customWidth="1"/>
    <col min="9" max="9" width="16.54296875" style="15" customWidth="1"/>
    <col min="10" max="10" width="13.453125" style="15" customWidth="1"/>
    <col min="11" max="11" width="16.7265625" style="15" customWidth="1"/>
    <col min="12" max="12" width="15.7265625" style="15" customWidth="1"/>
    <col min="13" max="13" width="17.453125" style="15" customWidth="1"/>
    <col min="14" max="15" width="17.26953125" style="163" customWidth="1"/>
    <col min="16" max="16" width="15.54296875" style="163" customWidth="1"/>
    <col min="17" max="17" width="12" style="163" bestFit="1" customWidth="1"/>
    <col min="18" max="21" width="9.26953125" style="163"/>
    <col min="22" max="22" width="10.54296875" style="163" bestFit="1" customWidth="1"/>
    <col min="23" max="24" width="9.26953125" style="163"/>
    <col min="25" max="25" width="12.453125" style="163" bestFit="1" customWidth="1"/>
    <col min="26" max="16384" width="9.26953125" style="163"/>
  </cols>
  <sheetData>
    <row r="1" spans="1:16" s="12" customFormat="1" ht="60.75" customHeight="1" x14ac:dyDescent="0.35">
      <c r="F1" s="13"/>
      <c r="G1" s="13"/>
      <c r="H1" s="13"/>
      <c r="I1" s="282" t="s">
        <v>274</v>
      </c>
      <c r="J1" s="282"/>
      <c r="K1" s="282"/>
      <c r="L1" s="282"/>
      <c r="M1" s="282"/>
      <c r="N1" s="14"/>
      <c r="O1" s="14"/>
    </row>
    <row r="3" spans="1:16" ht="20" x14ac:dyDescent="0.4">
      <c r="A3" s="331" t="s">
        <v>22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6" ht="20" x14ac:dyDescent="0.4">
      <c r="A4" s="331" t="s">
        <v>23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6" ht="20" x14ac:dyDescent="0.4">
      <c r="A5" s="331" t="s">
        <v>117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6" ht="15.65" x14ac:dyDescent="0.3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</row>
    <row r="7" spans="1:16" ht="40.5" customHeight="1" x14ac:dyDescent="0.35">
      <c r="A7" s="332"/>
      <c r="B7" s="333"/>
      <c r="C7" s="334"/>
      <c r="D7" s="345" t="s">
        <v>24</v>
      </c>
      <c r="E7" s="345" t="s">
        <v>25</v>
      </c>
      <c r="F7" s="332" t="s">
        <v>26</v>
      </c>
      <c r="G7" s="332" t="s">
        <v>27</v>
      </c>
      <c r="H7" s="348" t="s">
        <v>28</v>
      </c>
      <c r="I7" s="341" t="s">
        <v>29</v>
      </c>
      <c r="J7" s="342"/>
      <c r="K7" s="285" t="s">
        <v>30</v>
      </c>
      <c r="L7" s="285"/>
      <c r="M7" s="285"/>
    </row>
    <row r="8" spans="1:16" ht="14.65" customHeight="1" x14ac:dyDescent="0.35">
      <c r="A8" s="335"/>
      <c r="B8" s="336"/>
      <c r="C8" s="337"/>
      <c r="D8" s="346"/>
      <c r="E8" s="346"/>
      <c r="F8" s="335"/>
      <c r="G8" s="335"/>
      <c r="H8" s="349"/>
      <c r="I8" s="341" t="s">
        <v>31</v>
      </c>
      <c r="J8" s="342"/>
      <c r="K8" s="285" t="s">
        <v>32</v>
      </c>
      <c r="L8" s="285"/>
      <c r="M8" s="343" t="s">
        <v>33</v>
      </c>
    </row>
    <row r="9" spans="1:16" ht="63.65" customHeight="1" x14ac:dyDescent="0.35">
      <c r="A9" s="338"/>
      <c r="B9" s="339"/>
      <c r="C9" s="340"/>
      <c r="D9" s="347"/>
      <c r="E9" s="347"/>
      <c r="F9" s="338"/>
      <c r="G9" s="338"/>
      <c r="H9" s="350"/>
      <c r="I9" s="266" t="s">
        <v>34</v>
      </c>
      <c r="J9" s="266" t="s">
        <v>35</v>
      </c>
      <c r="K9" s="260" t="s">
        <v>34</v>
      </c>
      <c r="L9" s="260" t="s">
        <v>36</v>
      </c>
      <c r="M9" s="344"/>
    </row>
    <row r="10" spans="1:16" x14ac:dyDescent="0.3">
      <c r="A10" s="287"/>
      <c r="B10" s="287"/>
      <c r="C10" s="287"/>
      <c r="D10" s="262">
        <v>1</v>
      </c>
      <c r="E10" s="56">
        <v>2</v>
      </c>
      <c r="F10" s="57">
        <v>3</v>
      </c>
      <c r="G10" s="57">
        <v>4</v>
      </c>
      <c r="H10" s="57"/>
      <c r="I10" s="19">
        <v>5</v>
      </c>
      <c r="J10" s="19">
        <v>6</v>
      </c>
      <c r="K10" s="19">
        <v>7</v>
      </c>
      <c r="L10" s="19">
        <v>8</v>
      </c>
      <c r="M10" s="19">
        <v>9</v>
      </c>
    </row>
    <row r="11" spans="1:16" ht="45" customHeight="1" x14ac:dyDescent="0.35">
      <c r="A11" s="288" t="s">
        <v>37</v>
      </c>
      <c r="B11" s="288"/>
      <c r="C11" s="288"/>
      <c r="D11" s="20" t="s">
        <v>7</v>
      </c>
      <c r="E11" s="20"/>
      <c r="F11" s="9" t="s">
        <v>38</v>
      </c>
      <c r="G11" s="9" t="s">
        <v>38</v>
      </c>
      <c r="H11" s="164">
        <v>2.9489999999999998</v>
      </c>
      <c r="I11" s="11">
        <f>K11/N11*1000</f>
        <v>9217.5678537430849</v>
      </c>
      <c r="J11" s="9" t="s">
        <v>38</v>
      </c>
      <c r="K11" s="21">
        <f>K12+K15+K19+K22+K24+K26+K27+K28</f>
        <v>8966426</v>
      </c>
      <c r="L11" s="9" t="s">
        <v>38</v>
      </c>
      <c r="M11" s="21">
        <f>ROUND(K11/(K108+L108)*100,2)</f>
        <v>18.57</v>
      </c>
      <c r="N11" s="163">
        <v>972754</v>
      </c>
      <c r="P11" s="163" t="s">
        <v>39</v>
      </c>
    </row>
    <row r="12" spans="1:16" ht="33" customHeight="1" x14ac:dyDescent="0.35">
      <c r="A12" s="289" t="s">
        <v>40</v>
      </c>
      <c r="B12" s="289"/>
      <c r="C12" s="289"/>
      <c r="D12" s="3" t="s">
        <v>9</v>
      </c>
      <c r="E12" s="3" t="s">
        <v>41</v>
      </c>
      <c r="F12" s="22">
        <f>1300/N11+F13</f>
        <v>3.9064347203917951E-3</v>
      </c>
      <c r="G12" s="11">
        <f>I12/F12</f>
        <v>186768.89190789475</v>
      </c>
      <c r="H12" s="164">
        <v>2.9489999999999998</v>
      </c>
      <c r="I12" s="11">
        <f>K12/N11*1000</f>
        <v>729.60048403810219</v>
      </c>
      <c r="J12" s="9" t="s">
        <v>38</v>
      </c>
      <c r="K12" s="11">
        <f>K13+K14</f>
        <v>709721.78925000003</v>
      </c>
      <c r="L12" s="9" t="s">
        <v>38</v>
      </c>
      <c r="M12" s="9" t="s">
        <v>38</v>
      </c>
      <c r="N12" s="23">
        <f>9542763.3-L82</f>
        <v>8966426</v>
      </c>
      <c r="O12" s="23"/>
      <c r="P12" s="24"/>
    </row>
    <row r="13" spans="1:16" ht="27" customHeight="1" x14ac:dyDescent="0.35">
      <c r="A13" s="290" t="s">
        <v>42</v>
      </c>
      <c r="B13" s="290"/>
      <c r="C13" s="290"/>
      <c r="D13" s="3" t="s">
        <v>10</v>
      </c>
      <c r="E13" s="263" t="s">
        <v>41</v>
      </c>
      <c r="F13" s="22">
        <f>2500/N11</f>
        <v>2.570022842363023E-3</v>
      </c>
      <c r="G13" s="11">
        <f>G62</f>
        <v>7570.9677000000001</v>
      </c>
      <c r="H13" s="164">
        <v>2.9489999999999998</v>
      </c>
      <c r="I13" s="11">
        <f>G13*F13</f>
        <v>19.457559927792641</v>
      </c>
      <c r="J13" s="9" t="s">
        <v>38</v>
      </c>
      <c r="K13" s="11">
        <f>I13*$N$11/1000</f>
        <v>18927.419250000003</v>
      </c>
      <c r="L13" s="9" t="s">
        <v>38</v>
      </c>
      <c r="M13" s="9" t="s">
        <v>38</v>
      </c>
      <c r="N13" s="24"/>
    </row>
    <row r="14" spans="1:16" ht="37.5" customHeight="1" x14ac:dyDescent="0.35">
      <c r="A14" s="290" t="s">
        <v>244</v>
      </c>
      <c r="B14" s="290"/>
      <c r="C14" s="290"/>
      <c r="D14" s="3" t="s">
        <v>10</v>
      </c>
      <c r="E14" s="263" t="s">
        <v>41</v>
      </c>
      <c r="F14" s="22">
        <f>1300/N11</f>
        <v>1.3364118780287719E-3</v>
      </c>
      <c r="G14" s="11">
        <f>I14/F14</f>
        <v>531380.28461538453</v>
      </c>
      <c r="H14" s="164">
        <v>2.9489999999999998</v>
      </c>
      <c r="I14" s="11">
        <f>K14/N11*1000</f>
        <v>710.14292411030942</v>
      </c>
      <c r="J14" s="9" t="s">
        <v>38</v>
      </c>
      <c r="K14" s="11">
        <v>690794.37</v>
      </c>
      <c r="L14" s="9" t="s">
        <v>38</v>
      </c>
      <c r="M14" s="9" t="s">
        <v>38</v>
      </c>
      <c r="N14" s="24">
        <f>N12-K11</f>
        <v>0</v>
      </c>
    </row>
    <row r="15" spans="1:16" ht="39" x14ac:dyDescent="0.35">
      <c r="A15" s="286" t="s">
        <v>43</v>
      </c>
      <c r="B15" s="286"/>
      <c r="C15" s="286"/>
      <c r="D15" s="3" t="s">
        <v>11</v>
      </c>
      <c r="E15" s="4" t="s">
        <v>44</v>
      </c>
      <c r="F15" s="164">
        <v>0.73</v>
      </c>
      <c r="G15" s="11">
        <f>475.5*H15</f>
        <v>1402.2494999999999</v>
      </c>
      <c r="H15" s="164">
        <v>2.9489999999999998</v>
      </c>
      <c r="I15" s="11">
        <f>G15*F15</f>
        <v>1023.6421349999999</v>
      </c>
      <c r="J15" s="9" t="s">
        <v>38</v>
      </c>
      <c r="K15" s="11">
        <f>I15*N11/1000</f>
        <v>995751.98138978996</v>
      </c>
      <c r="L15" s="9" t="s">
        <v>38</v>
      </c>
      <c r="M15" s="9" t="s">
        <v>38</v>
      </c>
    </row>
    <row r="16" spans="1:16" ht="45" customHeight="1" x14ac:dyDescent="0.35">
      <c r="A16" s="286"/>
      <c r="B16" s="286"/>
      <c r="C16" s="286"/>
      <c r="D16" s="3" t="s">
        <v>164</v>
      </c>
      <c r="E16" s="4" t="s">
        <v>165</v>
      </c>
      <c r="F16" s="164"/>
      <c r="G16" s="11"/>
      <c r="H16" s="164"/>
      <c r="I16" s="11"/>
      <c r="J16" s="9" t="s">
        <v>38</v>
      </c>
      <c r="K16" s="11"/>
      <c r="L16" s="9" t="s">
        <v>38</v>
      </c>
      <c r="M16" s="9" t="s">
        <v>38</v>
      </c>
    </row>
    <row r="17" spans="1:16" ht="82.5" customHeight="1" x14ac:dyDescent="0.35">
      <c r="A17" s="286"/>
      <c r="B17" s="286"/>
      <c r="C17" s="286"/>
      <c r="D17" s="3" t="s">
        <v>166</v>
      </c>
      <c r="E17" s="4" t="s">
        <v>217</v>
      </c>
      <c r="F17" s="164"/>
      <c r="G17" s="11"/>
      <c r="H17" s="164"/>
      <c r="I17" s="11"/>
      <c r="J17" s="9" t="s">
        <v>38</v>
      </c>
      <c r="K17" s="11"/>
      <c r="L17" s="9" t="s">
        <v>38</v>
      </c>
      <c r="M17" s="9" t="s">
        <v>38</v>
      </c>
    </row>
    <row r="18" spans="1:16" ht="54.75" customHeight="1" x14ac:dyDescent="0.35">
      <c r="A18" s="286"/>
      <c r="B18" s="286"/>
      <c r="C18" s="286"/>
      <c r="D18" s="3" t="s">
        <v>216</v>
      </c>
      <c r="E18" s="4" t="s">
        <v>218</v>
      </c>
      <c r="F18" s="164"/>
      <c r="G18" s="11"/>
      <c r="H18" s="164"/>
      <c r="I18" s="11"/>
      <c r="J18" s="9" t="s">
        <v>38</v>
      </c>
      <c r="K18" s="11"/>
      <c r="L18" s="9" t="s">
        <v>38</v>
      </c>
      <c r="M18" s="9" t="s">
        <v>38</v>
      </c>
    </row>
    <row r="19" spans="1:16" x14ac:dyDescent="0.35">
      <c r="A19" s="286"/>
      <c r="B19" s="286"/>
      <c r="C19" s="286"/>
      <c r="D19" s="3" t="s">
        <v>13</v>
      </c>
      <c r="E19" s="4" t="s">
        <v>45</v>
      </c>
      <c r="F19" s="164">
        <v>0.14399999999999999</v>
      </c>
      <c r="G19" s="11">
        <f>1378.9*H19</f>
        <v>4066.3761</v>
      </c>
      <c r="H19" s="164">
        <v>2.9489999999999998</v>
      </c>
      <c r="I19" s="11">
        <f>G19*F19</f>
        <v>585.55815839999991</v>
      </c>
      <c r="J19" s="9" t="s">
        <v>38</v>
      </c>
      <c r="K19" s="11">
        <f>I19*N11/1000</f>
        <v>569604.04081623349</v>
      </c>
      <c r="L19" s="9" t="s">
        <v>38</v>
      </c>
      <c r="M19" s="9" t="s">
        <v>38</v>
      </c>
    </row>
    <row r="20" spans="1:16" ht="45" customHeight="1" x14ac:dyDescent="0.35">
      <c r="A20" s="291" t="s">
        <v>42</v>
      </c>
      <c r="B20" s="291"/>
      <c r="C20" s="291"/>
      <c r="D20" s="3" t="s">
        <v>14</v>
      </c>
      <c r="E20" s="263" t="s">
        <v>44</v>
      </c>
      <c r="F20" s="22">
        <f>1400/N11</f>
        <v>1.4392127917232929E-3</v>
      </c>
      <c r="G20" s="11">
        <f>G63</f>
        <v>1659.1979836177475</v>
      </c>
      <c r="H20" s="164">
        <v>2.9489999999999998</v>
      </c>
      <c r="I20" s="11">
        <f>F20*G20</f>
        <v>2.3879389620241569</v>
      </c>
      <c r="J20" s="9" t="s">
        <v>38</v>
      </c>
      <c r="K20" s="11">
        <f>I20*N11/1000</f>
        <v>2322.8771770648468</v>
      </c>
      <c r="L20" s="9" t="s">
        <v>38</v>
      </c>
      <c r="M20" s="9" t="s">
        <v>38</v>
      </c>
    </row>
    <row r="21" spans="1:16" ht="25.5" customHeight="1" x14ac:dyDescent="0.35">
      <c r="A21" s="291"/>
      <c r="B21" s="291"/>
      <c r="C21" s="291"/>
      <c r="D21" s="3" t="s">
        <v>15</v>
      </c>
      <c r="E21" s="263" t="s">
        <v>45</v>
      </c>
      <c r="F21" s="164"/>
      <c r="G21" s="11"/>
      <c r="H21" s="164">
        <v>2.9489999999999998</v>
      </c>
      <c r="I21" s="11"/>
      <c r="J21" s="9" t="s">
        <v>38</v>
      </c>
      <c r="K21" s="11"/>
      <c r="L21" s="9" t="s">
        <v>38</v>
      </c>
      <c r="M21" s="9" t="s">
        <v>38</v>
      </c>
    </row>
    <row r="22" spans="1:16" ht="37.5" customHeight="1" x14ac:dyDescent="0.35">
      <c r="A22" s="286" t="s">
        <v>46</v>
      </c>
      <c r="B22" s="286"/>
      <c r="C22" s="286"/>
      <c r="D22" s="3" t="s">
        <v>16</v>
      </c>
      <c r="E22" s="4" t="s">
        <v>47</v>
      </c>
      <c r="F22" s="22">
        <v>1.46E-2</v>
      </c>
      <c r="G22" s="11">
        <f>81569.4*H22</f>
        <v>240548.16059999997</v>
      </c>
      <c r="H22" s="164">
        <v>2.9489999999999998</v>
      </c>
      <c r="I22" s="11">
        <f>G22*F22</f>
        <v>3512.0031447599995</v>
      </c>
      <c r="J22" s="9" t="s">
        <v>38</v>
      </c>
      <c r="K22" s="11">
        <f>I22*N11/1000</f>
        <v>3416315.1070778687</v>
      </c>
      <c r="L22" s="9" t="s">
        <v>38</v>
      </c>
      <c r="M22" s="9" t="s">
        <v>38</v>
      </c>
    </row>
    <row r="23" spans="1:16" ht="19.899999999999999" customHeight="1" x14ac:dyDescent="0.35">
      <c r="A23" s="291" t="s">
        <v>42</v>
      </c>
      <c r="B23" s="291"/>
      <c r="C23" s="291"/>
      <c r="D23" s="3" t="s">
        <v>18</v>
      </c>
      <c r="E23" s="263" t="s">
        <v>47</v>
      </c>
      <c r="F23" s="25">
        <f>180/N11</f>
        <v>1.8504164465013765E-4</v>
      </c>
      <c r="G23" s="11">
        <f>G75</f>
        <v>104026.2574157505</v>
      </c>
      <c r="H23" s="164">
        <v>2.9489999999999998</v>
      </c>
      <c r="I23" s="11">
        <f>G23*F23</f>
        <v>19.249189759009052</v>
      </c>
      <c r="J23" s="9" t="s">
        <v>38</v>
      </c>
      <c r="K23" s="11">
        <f>I23*N11/1000</f>
        <v>18724.726334835093</v>
      </c>
      <c r="L23" s="9" t="s">
        <v>38</v>
      </c>
      <c r="M23" s="9" t="s">
        <v>38</v>
      </c>
    </row>
    <row r="24" spans="1:16" ht="15" customHeight="1" x14ac:dyDescent="0.35">
      <c r="A24" s="286" t="s">
        <v>48</v>
      </c>
      <c r="B24" s="286"/>
      <c r="C24" s="286"/>
      <c r="D24" s="3" t="s">
        <v>19</v>
      </c>
      <c r="E24" s="4" t="s">
        <v>49</v>
      </c>
      <c r="F24" s="164">
        <v>4.0000000000000001E-3</v>
      </c>
      <c r="G24" s="11">
        <f>14082.9*H24</f>
        <v>41530.472099999999</v>
      </c>
      <c r="H24" s="164">
        <v>2.9489999999999998</v>
      </c>
      <c r="I24" s="11">
        <f>G24*F24</f>
        <v>166.12188839999999</v>
      </c>
      <c r="J24" s="9" t="s">
        <v>38</v>
      </c>
      <c r="K24" s="11">
        <f>I24*N11/1000</f>
        <v>161595.73142865358</v>
      </c>
      <c r="L24" s="9" t="s">
        <v>38</v>
      </c>
      <c r="M24" s="9" t="s">
        <v>38</v>
      </c>
    </row>
    <row r="25" spans="1:16" ht="18" customHeight="1" x14ac:dyDescent="0.35">
      <c r="A25" s="291" t="s">
        <v>42</v>
      </c>
      <c r="B25" s="291"/>
      <c r="C25" s="291"/>
      <c r="D25" s="3" t="s">
        <v>50</v>
      </c>
      <c r="E25" s="263" t="s">
        <v>49</v>
      </c>
      <c r="F25" s="164"/>
      <c r="G25" s="11"/>
      <c r="H25" s="164">
        <v>2.9489999999999998</v>
      </c>
      <c r="I25" s="11"/>
      <c r="J25" s="9" t="s">
        <v>38</v>
      </c>
      <c r="K25" s="11"/>
      <c r="L25" s="9" t="s">
        <v>38</v>
      </c>
      <c r="M25" s="9" t="s">
        <v>38</v>
      </c>
    </row>
    <row r="26" spans="1:16" ht="14.65" customHeight="1" x14ac:dyDescent="0.35">
      <c r="A26" s="286" t="s">
        <v>167</v>
      </c>
      <c r="B26" s="286"/>
      <c r="C26" s="286"/>
      <c r="D26" s="3" t="s">
        <v>51</v>
      </c>
      <c r="E26" s="4" t="s">
        <v>52</v>
      </c>
      <c r="F26" s="26"/>
      <c r="G26" s="11"/>
      <c r="H26" s="164">
        <v>2.9489999999999998</v>
      </c>
      <c r="I26" s="11"/>
      <c r="J26" s="9" t="s">
        <v>38</v>
      </c>
      <c r="K26" s="11"/>
      <c r="L26" s="9" t="s">
        <v>38</v>
      </c>
      <c r="M26" s="9" t="s">
        <v>38</v>
      </c>
    </row>
    <row r="27" spans="1:16" ht="14.65" customHeight="1" x14ac:dyDescent="0.35">
      <c r="A27" s="286" t="s">
        <v>53</v>
      </c>
      <c r="B27" s="286"/>
      <c r="C27" s="286"/>
      <c r="D27" s="3" t="s">
        <v>54</v>
      </c>
      <c r="E27" s="3" t="s">
        <v>55</v>
      </c>
      <c r="F27" s="7"/>
      <c r="G27" s="1"/>
      <c r="H27" s="164">
        <v>2.9489999999999998</v>
      </c>
      <c r="I27" s="11">
        <f>K27/N11*1000</f>
        <v>2976.3703362180504</v>
      </c>
      <c r="J27" s="9" t="s">
        <v>38</v>
      </c>
      <c r="K27" s="11">
        <v>2895276.1500374535</v>
      </c>
      <c r="L27" s="9" t="s">
        <v>38</v>
      </c>
      <c r="M27" s="9" t="s">
        <v>38</v>
      </c>
      <c r="N27" s="24"/>
      <c r="O27" s="24"/>
      <c r="P27" s="24"/>
    </row>
    <row r="28" spans="1:16" ht="38.25" customHeight="1" x14ac:dyDescent="0.35">
      <c r="A28" s="286" t="s">
        <v>56</v>
      </c>
      <c r="B28" s="286"/>
      <c r="C28" s="286"/>
      <c r="D28" s="3" t="s">
        <v>57</v>
      </c>
      <c r="E28" s="4" t="s">
        <v>47</v>
      </c>
      <c r="F28" s="22">
        <f>1366/N11</f>
        <v>1.4042604810671558E-3</v>
      </c>
      <c r="G28" s="11">
        <f>I28/F28</f>
        <v>159708.05270863837</v>
      </c>
      <c r="H28" s="164">
        <v>2.9489999999999998</v>
      </c>
      <c r="I28" s="11">
        <f>K28/N11*1000</f>
        <v>224.27170692693119</v>
      </c>
      <c r="J28" s="9" t="s">
        <v>38</v>
      </c>
      <c r="K28" s="11">
        <f>прил7!K28</f>
        <v>218161.2</v>
      </c>
      <c r="L28" s="9" t="s">
        <v>38</v>
      </c>
      <c r="M28" s="9" t="s">
        <v>38</v>
      </c>
    </row>
    <row r="29" spans="1:16" ht="42" customHeight="1" x14ac:dyDescent="0.35">
      <c r="A29" s="293" t="s">
        <v>58</v>
      </c>
      <c r="B29" s="293"/>
      <c r="C29" s="293"/>
      <c r="D29" s="20" t="s">
        <v>59</v>
      </c>
      <c r="E29" s="20"/>
      <c r="F29" s="9"/>
      <c r="G29" s="27"/>
      <c r="H29" s="164">
        <v>2.9489999999999998</v>
      </c>
      <c r="I29" s="11">
        <f>K29/N11*1000</f>
        <v>15.420137054178138</v>
      </c>
      <c r="J29" s="9" t="s">
        <v>38</v>
      </c>
      <c r="K29" s="21">
        <f>SUM(K30:K33)</f>
        <v>15000</v>
      </c>
      <c r="L29" s="9" t="s">
        <v>38</v>
      </c>
      <c r="M29" s="28">
        <f>K29/(K108+L108)*100</f>
        <v>3.1059275896291531E-2</v>
      </c>
    </row>
    <row r="30" spans="1:16" ht="15" customHeight="1" x14ac:dyDescent="0.35">
      <c r="A30" s="286" t="s">
        <v>60</v>
      </c>
      <c r="B30" s="286"/>
      <c r="C30" s="286"/>
      <c r="D30" s="3" t="s">
        <v>61</v>
      </c>
      <c r="E30" s="3" t="s">
        <v>55</v>
      </c>
      <c r="F30" s="7"/>
      <c r="G30" s="1"/>
      <c r="H30" s="164">
        <v>2.9489999999999998</v>
      </c>
      <c r="I30" s="11">
        <f>K30/N11*1000</f>
        <v>0</v>
      </c>
      <c r="J30" s="9" t="s">
        <v>38</v>
      </c>
      <c r="K30" s="11">
        <v>0</v>
      </c>
      <c r="L30" s="9" t="s">
        <v>38</v>
      </c>
      <c r="M30" s="9" t="s">
        <v>38</v>
      </c>
    </row>
    <row r="31" spans="1:16" ht="15" customHeight="1" x14ac:dyDescent="0.35">
      <c r="A31" s="286" t="s">
        <v>62</v>
      </c>
      <c r="B31" s="286"/>
      <c r="C31" s="286"/>
      <c r="D31" s="3" t="s">
        <v>63</v>
      </c>
      <c r="E31" s="3" t="s">
        <v>55</v>
      </c>
      <c r="F31" s="7"/>
      <c r="G31" s="1"/>
      <c r="H31" s="164">
        <v>2.9489999999999998</v>
      </c>
      <c r="I31" s="11">
        <f>K31/N11*1000</f>
        <v>0</v>
      </c>
      <c r="J31" s="9" t="s">
        <v>38</v>
      </c>
      <c r="K31" s="11"/>
      <c r="L31" s="9" t="s">
        <v>38</v>
      </c>
      <c r="M31" s="9" t="s">
        <v>38</v>
      </c>
    </row>
    <row r="32" spans="1:16" ht="19.899999999999999" customHeight="1" x14ac:dyDescent="0.35">
      <c r="A32" s="286" t="s">
        <v>64</v>
      </c>
      <c r="B32" s="286"/>
      <c r="C32" s="286"/>
      <c r="D32" s="3" t="s">
        <v>65</v>
      </c>
      <c r="E32" s="4" t="s">
        <v>55</v>
      </c>
      <c r="F32" s="7"/>
      <c r="G32" s="1"/>
      <c r="H32" s="164">
        <v>2.9489999999999998</v>
      </c>
      <c r="I32" s="11">
        <f>K32/957400*1000</f>
        <v>0</v>
      </c>
      <c r="J32" s="9" t="s">
        <v>38</v>
      </c>
      <c r="K32" s="11">
        <v>0</v>
      </c>
      <c r="L32" s="9" t="s">
        <v>38</v>
      </c>
      <c r="M32" s="9" t="s">
        <v>38</v>
      </c>
    </row>
    <row r="33" spans="1:21" ht="15.65" customHeight="1" x14ac:dyDescent="0.35">
      <c r="A33" s="286" t="s">
        <v>66</v>
      </c>
      <c r="B33" s="286"/>
      <c r="C33" s="286"/>
      <c r="D33" s="3" t="s">
        <v>67</v>
      </c>
      <c r="E33" s="4" t="s">
        <v>55</v>
      </c>
      <c r="F33" s="7"/>
      <c r="G33" s="1"/>
      <c r="H33" s="164">
        <v>2.9489999999999998</v>
      </c>
      <c r="I33" s="11">
        <f>K33/N11*1000</f>
        <v>15.420137054178138</v>
      </c>
      <c r="J33" s="9" t="s">
        <v>38</v>
      </c>
      <c r="K33" s="11">
        <v>15000</v>
      </c>
      <c r="L33" s="9" t="s">
        <v>38</v>
      </c>
      <c r="M33" s="9" t="s">
        <v>38</v>
      </c>
    </row>
    <row r="34" spans="1:21" ht="15.65" customHeight="1" x14ac:dyDescent="0.35">
      <c r="A34" s="292" t="s">
        <v>68</v>
      </c>
      <c r="B34" s="292"/>
      <c r="C34" s="292"/>
      <c r="D34" s="20" t="s">
        <v>69</v>
      </c>
      <c r="E34" s="20"/>
      <c r="F34" s="9"/>
      <c r="G34" s="27"/>
      <c r="H34" s="29">
        <v>2.9489999999999998</v>
      </c>
      <c r="I34" s="9" t="s">
        <v>38</v>
      </c>
      <c r="J34" s="21">
        <f>L34/966478*1000</f>
        <v>40676.896049366871</v>
      </c>
      <c r="K34" s="9" t="s">
        <v>38</v>
      </c>
      <c r="L34" s="21">
        <f>L59+L61+L82</f>
        <v>39313325.140000001</v>
      </c>
      <c r="M34" s="21"/>
      <c r="N34" s="42"/>
      <c r="O34" s="42"/>
    </row>
    <row r="35" spans="1:21" ht="15" customHeight="1" x14ac:dyDescent="0.35">
      <c r="A35" s="292" t="s">
        <v>213</v>
      </c>
      <c r="B35" s="292"/>
      <c r="C35" s="292"/>
      <c r="D35" s="20" t="s">
        <v>70</v>
      </c>
      <c r="E35" s="20" t="s">
        <v>41</v>
      </c>
      <c r="F35" s="32">
        <f>F62+F83</f>
        <v>0.28999999999999998</v>
      </c>
      <c r="G35" s="21">
        <f>G62+G83</f>
        <v>7570.9677000000001</v>
      </c>
      <c r="H35" s="29">
        <v>2.9489999999999998</v>
      </c>
      <c r="I35" s="9" t="s">
        <v>38</v>
      </c>
      <c r="J35" s="21">
        <f>L35/966478*1000</f>
        <v>2195.5806547070911</v>
      </c>
      <c r="K35" s="9" t="s">
        <v>38</v>
      </c>
      <c r="L35" s="233">
        <f>L62+L83</f>
        <v>2121980.4</v>
      </c>
      <c r="M35" s="9" t="s">
        <v>38</v>
      </c>
      <c r="N35" s="42"/>
      <c r="O35" s="42"/>
    </row>
    <row r="36" spans="1:21" ht="39" x14ac:dyDescent="0.35">
      <c r="A36" s="299" t="s">
        <v>116</v>
      </c>
      <c r="B36" s="296" t="s">
        <v>71</v>
      </c>
      <c r="C36" s="264" t="s">
        <v>168</v>
      </c>
      <c r="D36" s="20" t="s">
        <v>72</v>
      </c>
      <c r="E36" s="35" t="s">
        <v>73</v>
      </c>
      <c r="F36" s="32">
        <f>F63+F84</f>
        <v>2.93</v>
      </c>
      <c r="G36" s="33">
        <f t="shared" ref="G36:G44" si="0">J36/F36</f>
        <v>1659.1979617177535</v>
      </c>
      <c r="H36" s="29">
        <v>2.9489999999999998</v>
      </c>
      <c r="I36" s="9" t="s">
        <v>38</v>
      </c>
      <c r="J36" s="21">
        <f>L36/966478*1000</f>
        <v>4861.4500278330179</v>
      </c>
      <c r="K36" s="9" t="s">
        <v>38</v>
      </c>
      <c r="L36" s="21">
        <f>L63+L84</f>
        <v>4698484.5</v>
      </c>
      <c r="M36" s="9" t="s">
        <v>38</v>
      </c>
      <c r="O36" s="42"/>
    </row>
    <row r="37" spans="1:21" ht="39" x14ac:dyDescent="0.35">
      <c r="A37" s="300"/>
      <c r="B37" s="297"/>
      <c r="C37" s="261" t="s">
        <v>169</v>
      </c>
      <c r="D37" s="3" t="s">
        <v>128</v>
      </c>
      <c r="E37" s="227" t="s">
        <v>248</v>
      </c>
      <c r="F37" s="36">
        <f>F64+F85</f>
        <v>0.26</v>
      </c>
      <c r="G37" s="36">
        <f>G64+G85</f>
        <v>5578.3283999999994</v>
      </c>
      <c r="H37" s="164">
        <v>2.9489999999999998</v>
      </c>
      <c r="I37" s="7" t="s">
        <v>38</v>
      </c>
      <c r="J37" s="37">
        <f>J64+J85</f>
        <v>1450.3653839999999</v>
      </c>
      <c r="K37" s="7" t="s">
        <v>38</v>
      </c>
      <c r="L37" s="37">
        <f>L64+L85</f>
        <v>1401746.2</v>
      </c>
      <c r="M37" s="7" t="s">
        <v>38</v>
      </c>
      <c r="O37" s="42"/>
    </row>
    <row r="38" spans="1:21" ht="39.65" customHeight="1" x14ac:dyDescent="0.35">
      <c r="A38" s="300"/>
      <c r="B38" s="297"/>
      <c r="C38" s="261" t="s">
        <v>267</v>
      </c>
      <c r="D38" s="3" t="s">
        <v>171</v>
      </c>
      <c r="E38" s="227" t="s">
        <v>249</v>
      </c>
      <c r="F38" s="36">
        <f>F65+F86</f>
        <v>0.19</v>
      </c>
      <c r="G38" s="36">
        <f>G65+G86</f>
        <v>6212.9531999999999</v>
      </c>
      <c r="H38" s="164">
        <v>2.9489999999999998</v>
      </c>
      <c r="I38" s="7" t="s">
        <v>38</v>
      </c>
      <c r="J38" s="37">
        <f>J65+J86</f>
        <v>1180.461108</v>
      </c>
      <c r="K38" s="7" t="s">
        <v>38</v>
      </c>
      <c r="L38" s="37">
        <f>L65+L86</f>
        <v>1140889.7</v>
      </c>
      <c r="M38" s="7" t="s">
        <v>38</v>
      </c>
      <c r="O38" s="42"/>
    </row>
    <row r="39" spans="1:21" ht="22.9" customHeight="1" x14ac:dyDescent="0.35">
      <c r="A39" s="300"/>
      <c r="B39" s="297"/>
      <c r="C39" s="261" t="s">
        <v>265</v>
      </c>
      <c r="D39" s="3" t="s">
        <v>247</v>
      </c>
      <c r="E39" s="227" t="s">
        <v>222</v>
      </c>
      <c r="F39" s="36">
        <f>F66+F87</f>
        <v>2.48</v>
      </c>
      <c r="G39" s="36">
        <f>G66+G87</f>
        <v>899.44499999999994</v>
      </c>
      <c r="H39" s="164">
        <v>2.9489999999999998</v>
      </c>
      <c r="I39" s="7" t="s">
        <v>38</v>
      </c>
      <c r="J39" s="37">
        <f>J66+J87</f>
        <v>2230.6235999999999</v>
      </c>
      <c r="K39" s="7" t="s">
        <v>38</v>
      </c>
      <c r="L39" s="37">
        <f>L66+L87</f>
        <v>2155848.6</v>
      </c>
      <c r="M39" s="7" t="s">
        <v>38</v>
      </c>
      <c r="O39" s="42"/>
    </row>
    <row r="40" spans="1:21" ht="39" x14ac:dyDescent="0.35">
      <c r="A40" s="300"/>
      <c r="B40" s="297"/>
      <c r="C40" s="261" t="s">
        <v>256</v>
      </c>
      <c r="D40" s="3" t="s">
        <v>250</v>
      </c>
      <c r="E40" s="227" t="s">
        <v>172</v>
      </c>
      <c r="F40" s="36">
        <f t="shared" ref="F40:G42" si="1">F88</f>
        <v>8.9999999999999993E-3</v>
      </c>
      <c r="G40" s="36" t="str">
        <f t="shared" si="1"/>
        <v>Х</v>
      </c>
      <c r="H40" s="164">
        <v>2.9489999999999998</v>
      </c>
      <c r="I40" s="7" t="s">
        <v>38</v>
      </c>
      <c r="J40" s="37" t="s">
        <v>38</v>
      </c>
      <c r="K40" s="7" t="s">
        <v>38</v>
      </c>
      <c r="L40" s="37" t="str">
        <f>L88</f>
        <v>Х</v>
      </c>
      <c r="M40" s="7" t="s">
        <v>38</v>
      </c>
      <c r="O40" s="42"/>
    </row>
    <row r="41" spans="1:21" ht="78" x14ac:dyDescent="0.35">
      <c r="A41" s="300"/>
      <c r="B41" s="297"/>
      <c r="C41" s="261" t="s">
        <v>257</v>
      </c>
      <c r="D41" s="3" t="s">
        <v>251</v>
      </c>
      <c r="E41" s="227" t="s">
        <v>219</v>
      </c>
      <c r="F41" s="36">
        <f t="shared" si="1"/>
        <v>6.9999999999999993E-3</v>
      </c>
      <c r="G41" s="36">
        <f t="shared" si="1"/>
        <v>1260.7</v>
      </c>
      <c r="H41" s="164">
        <v>2.9489999999999998</v>
      </c>
      <c r="I41" s="7" t="s">
        <v>38</v>
      </c>
      <c r="J41" s="37">
        <f>J89</f>
        <v>8.8248999999999995</v>
      </c>
      <c r="K41" s="7" t="s">
        <v>38</v>
      </c>
      <c r="L41" s="37">
        <f>L89</f>
        <v>8584.5</v>
      </c>
      <c r="M41" s="7" t="s">
        <v>38</v>
      </c>
      <c r="O41" s="42"/>
    </row>
    <row r="42" spans="1:21" ht="52" x14ac:dyDescent="0.35">
      <c r="A42" s="300"/>
      <c r="B42" s="297"/>
      <c r="C42" s="261" t="s">
        <v>258</v>
      </c>
      <c r="D42" s="3" t="s">
        <v>252</v>
      </c>
      <c r="E42" s="227" t="s">
        <v>173</v>
      </c>
      <c r="F42" s="36">
        <f t="shared" si="1"/>
        <v>2E-3</v>
      </c>
      <c r="G42" s="36">
        <f t="shared" si="1"/>
        <v>6303.19</v>
      </c>
      <c r="H42" s="164">
        <v>2.9489999999999998</v>
      </c>
      <c r="I42" s="7" t="s">
        <v>38</v>
      </c>
      <c r="J42" s="37">
        <f>J90</f>
        <v>12.606400000000001</v>
      </c>
      <c r="K42" s="7" t="s">
        <v>38</v>
      </c>
      <c r="L42" s="37">
        <f>L90</f>
        <v>12262.9</v>
      </c>
      <c r="M42" s="7" t="s">
        <v>38</v>
      </c>
      <c r="O42" s="42"/>
    </row>
    <row r="43" spans="1:21" ht="25.5" customHeight="1" x14ac:dyDescent="0.35">
      <c r="A43" s="300"/>
      <c r="B43" s="297"/>
      <c r="C43" s="264" t="s">
        <v>174</v>
      </c>
      <c r="D43" s="20" t="s">
        <v>74</v>
      </c>
      <c r="E43" s="35" t="s">
        <v>75</v>
      </c>
      <c r="F43" s="32">
        <f>F67+F91</f>
        <v>0.54</v>
      </c>
      <c r="G43" s="33">
        <f t="shared" si="0"/>
        <v>1975.8300719688357</v>
      </c>
      <c r="H43" s="29">
        <v>2.9489999999999998</v>
      </c>
      <c r="I43" s="9" t="s">
        <v>38</v>
      </c>
      <c r="J43" s="21">
        <f>L43/966478*1000</f>
        <v>1066.9482388631714</v>
      </c>
      <c r="K43" s="9" t="s">
        <v>38</v>
      </c>
      <c r="L43" s="21">
        <f>L67+L91</f>
        <v>1031182</v>
      </c>
      <c r="M43" s="9" t="s">
        <v>38</v>
      </c>
      <c r="O43" s="42"/>
    </row>
    <row r="44" spans="1:21" x14ac:dyDescent="0.35">
      <c r="A44" s="300"/>
      <c r="B44" s="297"/>
      <c r="C44" s="264" t="s">
        <v>175</v>
      </c>
      <c r="D44" s="20" t="s">
        <v>76</v>
      </c>
      <c r="E44" s="35" t="s">
        <v>45</v>
      </c>
      <c r="F44" s="32">
        <f>F68+F92</f>
        <v>1.77</v>
      </c>
      <c r="G44" s="33">
        <f t="shared" si="0"/>
        <v>4350.9546217337129</v>
      </c>
      <c r="H44" s="29">
        <v>2.9489999999999998</v>
      </c>
      <c r="I44" s="9" t="s">
        <v>38</v>
      </c>
      <c r="J44" s="21">
        <f>L44/966478*1000</f>
        <v>7701.1896804686712</v>
      </c>
      <c r="K44" s="9" t="s">
        <v>38</v>
      </c>
      <c r="L44" s="21">
        <f>L68+L92</f>
        <v>7443030.4000000004</v>
      </c>
      <c r="M44" s="9" t="s">
        <v>38</v>
      </c>
      <c r="O44" s="42"/>
    </row>
    <row r="45" spans="1:21" x14ac:dyDescent="0.35">
      <c r="A45" s="300"/>
      <c r="B45" s="297"/>
      <c r="C45" s="3" t="s">
        <v>268</v>
      </c>
      <c r="D45" s="3" t="s">
        <v>236</v>
      </c>
      <c r="E45" s="381" t="s">
        <v>231</v>
      </c>
      <c r="F45" s="382">
        <f>F69</f>
        <v>6.6699999999999995E-2</v>
      </c>
      <c r="G45" s="383">
        <f t="shared" ref="G45:L45" si="2">G69</f>
        <v>4304.0029239476062</v>
      </c>
      <c r="H45" s="384">
        <f t="shared" si="2"/>
        <v>2.9489999999999998</v>
      </c>
      <c r="I45" s="385" t="str">
        <f t="shared" si="2"/>
        <v>Х</v>
      </c>
      <c r="J45" s="383">
        <f t="shared" si="2"/>
        <v>287.07699502730532</v>
      </c>
      <c r="K45" s="379" t="str">
        <f t="shared" si="2"/>
        <v>Х</v>
      </c>
      <c r="L45" s="386">
        <f t="shared" si="2"/>
        <v>277453.59999999998</v>
      </c>
      <c r="M45" s="379" t="s">
        <v>38</v>
      </c>
      <c r="O45" s="42"/>
      <c r="S45" s="207"/>
      <c r="U45" s="70"/>
    </row>
    <row r="46" spans="1:21" x14ac:dyDescent="0.35">
      <c r="A46" s="300"/>
      <c r="B46" s="297"/>
      <c r="C46" s="3" t="s">
        <v>270</v>
      </c>
      <c r="D46" s="3" t="s">
        <v>237</v>
      </c>
      <c r="E46" s="381" t="s">
        <v>230</v>
      </c>
      <c r="F46" s="382">
        <f t="shared" ref="F46:L46" si="3">F70</f>
        <v>2.5000000000000001E-2</v>
      </c>
      <c r="G46" s="383">
        <f t="shared" si="3"/>
        <v>5611.9477111739734</v>
      </c>
      <c r="H46" s="384">
        <f t="shared" si="3"/>
        <v>2.9489999999999998</v>
      </c>
      <c r="I46" s="385" t="str">
        <f t="shared" si="3"/>
        <v>Х</v>
      </c>
      <c r="J46" s="383">
        <f t="shared" si="3"/>
        <v>140.29869277934935</v>
      </c>
      <c r="K46" s="379" t="str">
        <f t="shared" si="3"/>
        <v>Х</v>
      </c>
      <c r="L46" s="386">
        <f t="shared" si="3"/>
        <v>135595.6</v>
      </c>
      <c r="M46" s="379" t="s">
        <v>38</v>
      </c>
      <c r="O46" s="42"/>
      <c r="S46" s="207"/>
      <c r="U46" s="70"/>
    </row>
    <row r="47" spans="1:21" x14ac:dyDescent="0.35">
      <c r="A47" s="300"/>
      <c r="B47" s="297"/>
      <c r="C47" s="3" t="s">
        <v>271</v>
      </c>
      <c r="D47" s="3" t="s">
        <v>238</v>
      </c>
      <c r="E47" s="381" t="s">
        <v>232</v>
      </c>
      <c r="F47" s="382">
        <f t="shared" ref="F47:L47" si="4">F71</f>
        <v>0.1236</v>
      </c>
      <c r="G47" s="383">
        <f t="shared" si="4"/>
        <v>1719.2064824222039</v>
      </c>
      <c r="H47" s="384">
        <f t="shared" si="4"/>
        <v>2.9489999999999998</v>
      </c>
      <c r="I47" s="385" t="str">
        <f t="shared" si="4"/>
        <v>Х</v>
      </c>
      <c r="J47" s="383">
        <f t="shared" si="4"/>
        <v>212.49392122738439</v>
      </c>
      <c r="K47" s="379" t="str">
        <f t="shared" si="4"/>
        <v>Х</v>
      </c>
      <c r="L47" s="386">
        <f t="shared" si="4"/>
        <v>205370.7</v>
      </c>
      <c r="M47" s="379" t="s">
        <v>38</v>
      </c>
      <c r="O47" s="42"/>
      <c r="S47" s="207"/>
      <c r="U47" s="70"/>
    </row>
    <row r="48" spans="1:21" ht="26" x14ac:dyDescent="0.35">
      <c r="A48" s="300"/>
      <c r="B48" s="297"/>
      <c r="C48" s="3" t="s">
        <v>272</v>
      </c>
      <c r="D48" s="3" t="s">
        <v>239</v>
      </c>
      <c r="E48" s="381" t="s">
        <v>233</v>
      </c>
      <c r="F48" s="382">
        <f t="shared" ref="F48:L48" si="5">F72</f>
        <v>5.7500000000000002E-2</v>
      </c>
      <c r="G48" s="383">
        <f t="shared" si="5"/>
        <v>2154.2891234754034</v>
      </c>
      <c r="H48" s="384">
        <f t="shared" si="5"/>
        <v>2.9489999999999998</v>
      </c>
      <c r="I48" s="385" t="str">
        <f t="shared" si="5"/>
        <v>Х</v>
      </c>
      <c r="J48" s="383">
        <f t="shared" si="5"/>
        <v>123.8716245998357</v>
      </c>
      <c r="K48" s="379" t="str">
        <f t="shared" si="5"/>
        <v>Х</v>
      </c>
      <c r="L48" s="386">
        <f t="shared" si="5"/>
        <v>119719.2</v>
      </c>
      <c r="M48" s="379" t="s">
        <v>38</v>
      </c>
      <c r="O48" s="42"/>
      <c r="S48" s="207"/>
      <c r="U48" s="70"/>
    </row>
    <row r="49" spans="1:21" ht="39" x14ac:dyDescent="0.35">
      <c r="A49" s="300"/>
      <c r="B49" s="297"/>
      <c r="C49" s="3" t="s">
        <v>269</v>
      </c>
      <c r="D49" s="3" t="s">
        <v>240</v>
      </c>
      <c r="E49" s="381" t="s">
        <v>234</v>
      </c>
      <c r="F49" s="382">
        <f t="shared" ref="F49:L49" si="6">F73</f>
        <v>1.0351E-3</v>
      </c>
      <c r="G49" s="383">
        <f t="shared" si="6"/>
        <v>29914.492986616919</v>
      </c>
      <c r="H49" s="384">
        <f t="shared" si="6"/>
        <v>2.9489999999999998</v>
      </c>
      <c r="I49" s="385" t="str">
        <f t="shared" si="6"/>
        <v>Х</v>
      </c>
      <c r="J49" s="383">
        <f t="shared" si="6"/>
        <v>30.964491690447172</v>
      </c>
      <c r="K49" s="379" t="str">
        <f t="shared" si="6"/>
        <v>Х</v>
      </c>
      <c r="L49" s="386">
        <f t="shared" si="6"/>
        <v>29926.5</v>
      </c>
      <c r="M49" s="379" t="s">
        <v>38</v>
      </c>
      <c r="O49" s="42"/>
      <c r="S49" s="207"/>
      <c r="U49" s="70"/>
    </row>
    <row r="50" spans="1:21" ht="39" x14ac:dyDescent="0.35">
      <c r="A50" s="301"/>
      <c r="B50" s="298"/>
      <c r="C50" s="3" t="s">
        <v>266</v>
      </c>
      <c r="D50" s="3" t="s">
        <v>241</v>
      </c>
      <c r="E50" s="381" t="s">
        <v>235</v>
      </c>
      <c r="F50" s="382">
        <f t="shared" ref="F50:L50" si="7">F74</f>
        <v>5.0099999999999999E-2</v>
      </c>
      <c r="G50" s="383">
        <f t="shared" si="7"/>
        <v>1695.9699000000001</v>
      </c>
      <c r="H50" s="384">
        <f t="shared" si="7"/>
        <v>2.9489999999999998</v>
      </c>
      <c r="I50" s="385" t="str">
        <f t="shared" si="7"/>
        <v>Х</v>
      </c>
      <c r="J50" s="383">
        <f t="shared" si="7"/>
        <v>84.968091990000005</v>
      </c>
      <c r="K50" s="379" t="str">
        <f t="shared" si="7"/>
        <v>Х</v>
      </c>
      <c r="L50" s="386">
        <f t="shared" si="7"/>
        <v>82119.8</v>
      </c>
      <c r="M50" s="379" t="s">
        <v>38</v>
      </c>
      <c r="O50" s="42"/>
      <c r="S50" s="207"/>
      <c r="U50" s="70"/>
    </row>
    <row r="51" spans="1:21" ht="28.9" customHeight="1" x14ac:dyDescent="0.35">
      <c r="A51" s="292" t="s">
        <v>158</v>
      </c>
      <c r="B51" s="292"/>
      <c r="C51" s="292"/>
      <c r="D51" s="20" t="s">
        <v>77</v>
      </c>
      <c r="E51" s="38" t="s">
        <v>47</v>
      </c>
      <c r="F51" s="193">
        <f t="shared" ref="F51:G57" si="8">F75+F99</f>
        <v>0.191</v>
      </c>
      <c r="G51" s="32">
        <f t="shared" si="8"/>
        <v>104026.2574157505</v>
      </c>
      <c r="H51" s="29">
        <v>2.9489999999999998</v>
      </c>
      <c r="I51" s="9" t="s">
        <v>38</v>
      </c>
      <c r="J51" s="21">
        <f>J75+J99</f>
        <v>19869.01516640835</v>
      </c>
      <c r="K51" s="9" t="s">
        <v>38</v>
      </c>
      <c r="L51" s="21">
        <f>L75+L99</f>
        <v>19202966.040000007</v>
      </c>
      <c r="M51" s="58" t="s">
        <v>38</v>
      </c>
      <c r="O51" s="42"/>
    </row>
    <row r="52" spans="1:21" ht="25.5" customHeight="1" x14ac:dyDescent="0.35">
      <c r="A52" s="294" t="s">
        <v>132</v>
      </c>
      <c r="B52" s="294"/>
      <c r="C52" s="294"/>
      <c r="D52" s="4" t="s">
        <v>78</v>
      </c>
      <c r="E52" s="4" t="str">
        <f t="shared" ref="E52" si="9">E76</f>
        <v>случай госпитализации</v>
      </c>
      <c r="F52" s="231">
        <f t="shared" si="8"/>
        <v>1.1011E-2</v>
      </c>
      <c r="G52" s="37">
        <f t="shared" si="8"/>
        <v>335797.32179999998</v>
      </c>
      <c r="H52" s="60">
        <f t="shared" ref="H52:M52" si="10">H76</f>
        <v>2.9489999999999998</v>
      </c>
      <c r="I52" s="60" t="str">
        <f t="shared" si="10"/>
        <v>Х</v>
      </c>
      <c r="J52" s="229">
        <f t="shared" si="10"/>
        <v>3697.4643103397998</v>
      </c>
      <c r="K52" s="60" t="str">
        <f t="shared" si="10"/>
        <v>Х</v>
      </c>
      <c r="L52" s="234">
        <f t="shared" si="10"/>
        <v>3573517.9</v>
      </c>
      <c r="M52" s="61" t="str">
        <f t="shared" si="10"/>
        <v>Х</v>
      </c>
      <c r="O52" s="42"/>
    </row>
    <row r="53" spans="1:21" ht="26.25" customHeight="1" x14ac:dyDescent="0.35">
      <c r="A53" s="294" t="s">
        <v>139</v>
      </c>
      <c r="B53" s="294"/>
      <c r="C53" s="294"/>
      <c r="D53" s="3" t="s">
        <v>79</v>
      </c>
      <c r="E53" s="4" t="s">
        <v>47</v>
      </c>
      <c r="F53" s="36">
        <f t="shared" si="8"/>
        <v>5.0000000000000001E-3</v>
      </c>
      <c r="G53" s="37">
        <f t="shared" si="8"/>
        <v>111911.3061</v>
      </c>
      <c r="H53" s="164">
        <v>2.9489999999999998</v>
      </c>
      <c r="I53" s="7" t="s">
        <v>38</v>
      </c>
      <c r="J53" s="37">
        <f t="shared" ref="J53:J59" si="11">L53/966478*1000</f>
        <v>559.55655483104624</v>
      </c>
      <c r="K53" s="7" t="s">
        <v>38</v>
      </c>
      <c r="L53" s="37">
        <f>L77+L101</f>
        <v>540799.1</v>
      </c>
      <c r="M53" s="59" t="s">
        <v>38</v>
      </c>
      <c r="O53" s="42"/>
    </row>
    <row r="54" spans="1:21" ht="18" customHeight="1" x14ac:dyDescent="0.35">
      <c r="A54" s="295" t="s">
        <v>140</v>
      </c>
      <c r="B54" s="295"/>
      <c r="C54" s="295"/>
      <c r="D54" s="3" t="s">
        <v>138</v>
      </c>
      <c r="E54" s="4" t="s">
        <v>47</v>
      </c>
      <c r="F54" s="41">
        <f t="shared" si="8"/>
        <v>3.2478752749674593E-3</v>
      </c>
      <c r="G54" s="37">
        <f t="shared" si="8"/>
        <v>243937.41318891366</v>
      </c>
      <c r="H54" s="164">
        <v>2.9489999999999998</v>
      </c>
      <c r="I54" s="7" t="s">
        <v>38</v>
      </c>
      <c r="J54" s="37">
        <f>J78+J102</f>
        <v>792.27829293579373</v>
      </c>
      <c r="K54" s="7" t="s">
        <v>38</v>
      </c>
      <c r="L54" s="37">
        <f>L78+L102</f>
        <v>765719.54</v>
      </c>
      <c r="M54" s="59" t="s">
        <v>38</v>
      </c>
      <c r="O54" s="42"/>
    </row>
    <row r="55" spans="1:21" ht="27" customHeight="1" x14ac:dyDescent="0.35">
      <c r="A55" s="292" t="s">
        <v>176</v>
      </c>
      <c r="B55" s="292"/>
      <c r="C55" s="292"/>
      <c r="D55" s="20" t="s">
        <v>80</v>
      </c>
      <c r="E55" s="38" t="s">
        <v>49</v>
      </c>
      <c r="F55" s="193">
        <f t="shared" si="8"/>
        <v>6.2969999999999998E-2</v>
      </c>
      <c r="G55" s="32">
        <f t="shared" si="8"/>
        <v>63376.369199999994</v>
      </c>
      <c r="H55" s="29">
        <v>2.9489999999999998</v>
      </c>
      <c r="I55" s="9" t="s">
        <v>38</v>
      </c>
      <c r="J55" s="21">
        <f t="shared" si="11"/>
        <v>3990.8099304898815</v>
      </c>
      <c r="K55" s="9" t="s">
        <v>38</v>
      </c>
      <c r="L55" s="21">
        <f>L79+L105</f>
        <v>3857030</v>
      </c>
      <c r="M55" s="58" t="s">
        <v>38</v>
      </c>
      <c r="O55" s="42"/>
    </row>
    <row r="56" spans="1:21" ht="25.5" customHeight="1" x14ac:dyDescent="0.35">
      <c r="A56" s="294" t="s">
        <v>141</v>
      </c>
      <c r="B56" s="294"/>
      <c r="C56" s="294"/>
      <c r="D56" s="4" t="s">
        <v>120</v>
      </c>
      <c r="E56" s="40" t="str">
        <f>E80</f>
        <v>случай лечения</v>
      </c>
      <c r="F56" s="228">
        <f t="shared" si="8"/>
        <v>7.6350999999999997E-3</v>
      </c>
      <c r="G56" s="232">
        <f t="shared" si="8"/>
        <v>255599.26679999998</v>
      </c>
      <c r="H56" s="267">
        <f>H80</f>
        <v>2.9489999999999998</v>
      </c>
      <c r="I56" s="62" t="str">
        <f>I80</f>
        <v>Х</v>
      </c>
      <c r="J56" s="37">
        <f t="shared" si="11"/>
        <v>1951.5259529963434</v>
      </c>
      <c r="K56" s="62" t="str">
        <f>K80</f>
        <v>Х</v>
      </c>
      <c r="L56" s="235">
        <f>L80+L104</f>
        <v>1886106.9</v>
      </c>
      <c r="M56" s="63" t="str">
        <f>M80</f>
        <v>Х</v>
      </c>
      <c r="O56" s="42"/>
    </row>
    <row r="57" spans="1:21" ht="25.5" customHeight="1" x14ac:dyDescent="0.35">
      <c r="A57" s="294" t="s">
        <v>142</v>
      </c>
      <c r="B57" s="294"/>
      <c r="C57" s="294"/>
      <c r="D57" s="4" t="s">
        <v>121</v>
      </c>
      <c r="E57" s="40" t="s">
        <v>177</v>
      </c>
      <c r="F57" s="68">
        <f t="shared" si="8"/>
        <v>5.0699999999999996E-4</v>
      </c>
      <c r="G57" s="40">
        <f t="shared" si="8"/>
        <v>367824.34649999999</v>
      </c>
      <c r="H57" s="267">
        <v>2.9489999999999998</v>
      </c>
      <c r="I57" s="62" t="s">
        <v>38</v>
      </c>
      <c r="J57" s="37">
        <f t="shared" si="11"/>
        <v>186.48691434259237</v>
      </c>
      <c r="K57" s="62" t="s">
        <v>38</v>
      </c>
      <c r="L57" s="234">
        <f>L81+L105</f>
        <v>180235.5</v>
      </c>
      <c r="M57" s="63" t="s">
        <v>38</v>
      </c>
      <c r="O57" s="42"/>
    </row>
    <row r="58" spans="1:21" ht="22.5" customHeight="1" x14ac:dyDescent="0.35">
      <c r="A58" s="292" t="s">
        <v>143</v>
      </c>
      <c r="B58" s="292"/>
      <c r="C58" s="292"/>
      <c r="D58" s="20" t="s">
        <v>81</v>
      </c>
      <c r="E58" s="38" t="s">
        <v>52</v>
      </c>
      <c r="F58" s="32">
        <f>F106</f>
        <v>9.1999999999999998E-2</v>
      </c>
      <c r="G58" s="32">
        <f>G106</f>
        <v>6440.03</v>
      </c>
      <c r="H58" s="29">
        <v>2.9489999999999998</v>
      </c>
      <c r="I58" s="9" t="s">
        <v>38</v>
      </c>
      <c r="J58" s="21">
        <f>J106</f>
        <v>592.48</v>
      </c>
      <c r="K58" s="9" t="s">
        <v>38</v>
      </c>
      <c r="L58" s="21">
        <f>L106</f>
        <v>576337.30000000005</v>
      </c>
      <c r="M58" s="58" t="s">
        <v>38</v>
      </c>
      <c r="O58" s="42"/>
    </row>
    <row r="59" spans="1:21" ht="15" customHeight="1" x14ac:dyDescent="0.35">
      <c r="A59" s="292" t="s">
        <v>144</v>
      </c>
      <c r="B59" s="292"/>
      <c r="C59" s="292"/>
      <c r="D59" s="20" t="s">
        <v>82</v>
      </c>
      <c r="E59" s="20" t="s">
        <v>55</v>
      </c>
      <c r="F59" s="9"/>
      <c r="G59" s="27"/>
      <c r="H59" s="29">
        <v>2.9489999999999998</v>
      </c>
      <c r="I59" s="9" t="s">
        <v>38</v>
      </c>
      <c r="J59" s="21">
        <f t="shared" si="11"/>
        <v>395.5749639412382</v>
      </c>
      <c r="K59" s="9" t="s">
        <v>38</v>
      </c>
      <c r="L59" s="233">
        <v>382314.5</v>
      </c>
      <c r="M59" s="58" t="s">
        <v>38</v>
      </c>
      <c r="O59" s="42"/>
    </row>
    <row r="60" spans="1:21" ht="15" customHeight="1" x14ac:dyDescent="0.35">
      <c r="A60" s="292" t="s">
        <v>145</v>
      </c>
      <c r="B60" s="292"/>
      <c r="C60" s="292"/>
      <c r="D60" s="20" t="s">
        <v>84</v>
      </c>
      <c r="E60" s="20" t="s">
        <v>55</v>
      </c>
      <c r="F60" s="9"/>
      <c r="G60" s="27"/>
      <c r="H60" s="29"/>
      <c r="I60" s="9" t="s">
        <v>38</v>
      </c>
      <c r="J60" s="21"/>
      <c r="K60" s="9" t="s">
        <v>38</v>
      </c>
      <c r="L60" s="233">
        <v>0</v>
      </c>
      <c r="M60" s="58" t="s">
        <v>38</v>
      </c>
      <c r="O60" s="42"/>
    </row>
    <row r="61" spans="1:21" ht="48.75" customHeight="1" x14ac:dyDescent="0.35">
      <c r="A61" s="302" t="s">
        <v>83</v>
      </c>
      <c r="B61" s="302"/>
      <c r="C61" s="302"/>
      <c r="D61" s="3" t="s">
        <v>86</v>
      </c>
      <c r="E61" s="3"/>
      <c r="F61" s="7"/>
      <c r="G61" s="1"/>
      <c r="H61" s="164">
        <v>2.9489999999999998</v>
      </c>
      <c r="I61" s="9" t="s">
        <v>38</v>
      </c>
      <c r="J61" s="37">
        <f>L61/966478*1000</f>
        <v>39684.99369877018</v>
      </c>
      <c r="K61" s="64" t="s">
        <v>38</v>
      </c>
      <c r="L61" s="236">
        <f>прил6!E14-382314.5+прил6!K20</f>
        <v>38354673.340000004</v>
      </c>
      <c r="M61" s="65"/>
      <c r="O61" s="42"/>
    </row>
    <row r="62" spans="1:21" ht="27" customHeight="1" x14ac:dyDescent="0.35">
      <c r="A62" s="286" t="s">
        <v>85</v>
      </c>
      <c r="B62" s="286"/>
      <c r="C62" s="286"/>
      <c r="D62" s="3" t="s">
        <v>146</v>
      </c>
      <c r="E62" s="3" t="s">
        <v>41</v>
      </c>
      <c r="F62" s="5">
        <v>0.28999999999999998</v>
      </c>
      <c r="G62" s="1">
        <f>2567.3*H62</f>
        <v>7570.9677000000001</v>
      </c>
      <c r="H62" s="164">
        <v>2.9489999999999998</v>
      </c>
      <c r="I62" s="6" t="s">
        <v>38</v>
      </c>
      <c r="J62" s="1">
        <f t="shared" ref="J62:J79" si="12">G62*F62</f>
        <v>2195.580633</v>
      </c>
      <c r="K62" s="9" t="s">
        <v>38</v>
      </c>
      <c r="L62" s="230">
        <f>ROUND(J62*966478/1000,1)</f>
        <v>2121980.4</v>
      </c>
      <c r="M62" s="9" t="s">
        <v>38</v>
      </c>
      <c r="O62" s="42"/>
    </row>
    <row r="63" spans="1:21" ht="38.25" customHeight="1" x14ac:dyDescent="0.35">
      <c r="A63" s="303" t="s">
        <v>87</v>
      </c>
      <c r="B63" s="304"/>
      <c r="C63" s="305"/>
      <c r="D63" s="3" t="s">
        <v>88</v>
      </c>
      <c r="E63" s="227" t="s">
        <v>73</v>
      </c>
      <c r="F63" s="218">
        <f>F64+F65+F66</f>
        <v>2.93</v>
      </c>
      <c r="G63" s="1">
        <f>J63/F63</f>
        <v>1659.1979836177475</v>
      </c>
      <c r="H63" s="164">
        <v>2.9489999999999998</v>
      </c>
      <c r="I63" s="8" t="s">
        <v>38</v>
      </c>
      <c r="J63" s="165">
        <f>J64+J65+J66</f>
        <v>4861.450092</v>
      </c>
      <c r="K63" s="9" t="s">
        <v>38</v>
      </c>
      <c r="L63" s="230">
        <f>L64+L65+L66</f>
        <v>4698484.5</v>
      </c>
      <c r="M63" s="9" t="s">
        <v>38</v>
      </c>
      <c r="O63" s="42"/>
    </row>
    <row r="64" spans="1:21" ht="44.5" customHeight="1" x14ac:dyDescent="0.35">
      <c r="A64" s="306"/>
      <c r="B64" s="307"/>
      <c r="C64" s="308"/>
      <c r="D64" s="3" t="s">
        <v>125</v>
      </c>
      <c r="E64" s="227" t="s">
        <v>248</v>
      </c>
      <c r="F64" s="218">
        <v>0.26</v>
      </c>
      <c r="G64" s="1">
        <f>1891.6*H64</f>
        <v>5578.3283999999994</v>
      </c>
      <c r="H64" s="164">
        <v>2.9489999999999998</v>
      </c>
      <c r="I64" s="6" t="s">
        <v>38</v>
      </c>
      <c r="J64" s="1">
        <f t="shared" ref="J64" si="13">G64*F64</f>
        <v>1450.3653839999999</v>
      </c>
      <c r="K64" s="7" t="s">
        <v>38</v>
      </c>
      <c r="L64" s="230">
        <f t="shared" ref="L64:L81" si="14">ROUND(J64*966478/1000,1)</f>
        <v>1401746.2</v>
      </c>
      <c r="M64" s="7" t="s">
        <v>38</v>
      </c>
      <c r="O64" s="42"/>
    </row>
    <row r="65" spans="1:25" ht="31.9" customHeight="1" x14ac:dyDescent="0.35">
      <c r="A65" s="306"/>
      <c r="B65" s="307"/>
      <c r="C65" s="308"/>
      <c r="D65" s="3" t="s">
        <v>253</v>
      </c>
      <c r="E65" s="227" t="s">
        <v>249</v>
      </c>
      <c r="F65" s="218">
        <v>0.19</v>
      </c>
      <c r="G65" s="1">
        <f>2106.8*H65</f>
        <v>6212.9531999999999</v>
      </c>
      <c r="H65" s="164">
        <v>2.9489999999999998</v>
      </c>
      <c r="I65" s="8" t="s">
        <v>38</v>
      </c>
      <c r="J65" s="1">
        <f>F65*G65</f>
        <v>1180.461108</v>
      </c>
      <c r="K65" s="9" t="s">
        <v>38</v>
      </c>
      <c r="L65" s="230">
        <f t="shared" si="14"/>
        <v>1140889.7</v>
      </c>
      <c r="M65" s="9" t="s">
        <v>38</v>
      </c>
      <c r="O65" s="42"/>
    </row>
    <row r="66" spans="1:25" ht="16.899999999999999" customHeight="1" x14ac:dyDescent="0.35">
      <c r="A66" s="306"/>
      <c r="B66" s="307"/>
      <c r="C66" s="308"/>
      <c r="D66" s="3" t="s">
        <v>254</v>
      </c>
      <c r="E66" s="227" t="s">
        <v>222</v>
      </c>
      <c r="F66" s="218">
        <v>2.48</v>
      </c>
      <c r="G66" s="1">
        <f>305*H66</f>
        <v>899.44499999999994</v>
      </c>
      <c r="H66" s="164">
        <v>2.9489999999999998</v>
      </c>
      <c r="I66" s="8"/>
      <c r="J66" s="1">
        <f>F66*G66</f>
        <v>2230.6235999999999</v>
      </c>
      <c r="K66" s="9"/>
      <c r="L66" s="230">
        <f t="shared" si="14"/>
        <v>2155848.6</v>
      </c>
      <c r="M66" s="9"/>
      <c r="O66" s="42"/>
    </row>
    <row r="67" spans="1:25" ht="26" x14ac:dyDescent="0.35">
      <c r="A67" s="306"/>
      <c r="B67" s="307"/>
      <c r="C67" s="308"/>
      <c r="D67" s="3" t="s">
        <v>89</v>
      </c>
      <c r="E67" s="227" t="s">
        <v>75</v>
      </c>
      <c r="F67" s="252">
        <v>0.54</v>
      </c>
      <c r="G67" s="1">
        <f>670*H67</f>
        <v>1975.83</v>
      </c>
      <c r="H67" s="164">
        <v>2.9489999999999998</v>
      </c>
      <c r="I67" s="8" t="s">
        <v>38</v>
      </c>
      <c r="J67" s="1">
        <f t="shared" si="12"/>
        <v>1066.9482</v>
      </c>
      <c r="K67" s="9" t="s">
        <v>38</v>
      </c>
      <c r="L67" s="230">
        <f t="shared" si="14"/>
        <v>1031182</v>
      </c>
      <c r="M67" s="9" t="s">
        <v>38</v>
      </c>
      <c r="O67" s="42"/>
    </row>
    <row r="68" spans="1:25" x14ac:dyDescent="0.35">
      <c r="A68" s="306"/>
      <c r="B68" s="307"/>
      <c r="C68" s="308"/>
      <c r="D68" s="3" t="s">
        <v>147</v>
      </c>
      <c r="E68" s="227" t="s">
        <v>45</v>
      </c>
      <c r="F68" s="252">
        <v>1.77</v>
      </c>
      <c r="G68" s="1">
        <f>1475.4*H68</f>
        <v>4350.9546</v>
      </c>
      <c r="H68" s="164">
        <v>2.9489999999999998</v>
      </c>
      <c r="I68" s="8" t="s">
        <v>38</v>
      </c>
      <c r="J68" s="1">
        <f t="shared" si="12"/>
        <v>7701.1896420000003</v>
      </c>
      <c r="K68" s="9" t="s">
        <v>38</v>
      </c>
      <c r="L68" s="230">
        <f t="shared" si="14"/>
        <v>7443030.4000000004</v>
      </c>
      <c r="M68" s="9" t="s">
        <v>38</v>
      </c>
      <c r="O68" s="42"/>
      <c r="S68" s="207"/>
      <c r="U68" s="70"/>
    </row>
    <row r="69" spans="1:25" x14ac:dyDescent="0.35">
      <c r="A69" s="306"/>
      <c r="B69" s="307"/>
      <c r="C69" s="308"/>
      <c r="D69" s="3" t="s">
        <v>224</v>
      </c>
      <c r="E69" s="227" t="s">
        <v>231</v>
      </c>
      <c r="F69" s="252">
        <v>6.6699999999999995E-2</v>
      </c>
      <c r="G69" s="1">
        <f t="shared" ref="G69:G73" si="15">L69/(F69*966478)*1000</f>
        <v>4304.0029239476062</v>
      </c>
      <c r="H69" s="164">
        <v>2.9489999999999998</v>
      </c>
      <c r="I69" s="8" t="s">
        <v>38</v>
      </c>
      <c r="J69" s="1">
        <f t="shared" ref="J69:J73" si="16">L69/966.478</f>
        <v>287.07699502730532</v>
      </c>
      <c r="K69" s="9" t="s">
        <v>38</v>
      </c>
      <c r="L69" s="230">
        <v>277453.59999999998</v>
      </c>
      <c r="M69" s="9" t="s">
        <v>38</v>
      </c>
      <c r="O69" s="42"/>
      <c r="S69" s="207"/>
      <c r="U69" s="70"/>
    </row>
    <row r="70" spans="1:25" x14ac:dyDescent="0.35">
      <c r="A70" s="306"/>
      <c r="B70" s="307"/>
      <c r="C70" s="308"/>
      <c r="D70" s="3" t="s">
        <v>225</v>
      </c>
      <c r="E70" s="227" t="s">
        <v>230</v>
      </c>
      <c r="F70" s="252">
        <v>2.5000000000000001E-2</v>
      </c>
      <c r="G70" s="1">
        <f t="shared" si="15"/>
        <v>5611.9477111739734</v>
      </c>
      <c r="H70" s="164">
        <v>2.9489999999999998</v>
      </c>
      <c r="I70" s="8" t="s">
        <v>38</v>
      </c>
      <c r="J70" s="1">
        <f t="shared" si="16"/>
        <v>140.29869277934935</v>
      </c>
      <c r="K70" s="9" t="s">
        <v>38</v>
      </c>
      <c r="L70" s="230">
        <v>135595.6</v>
      </c>
      <c r="M70" s="9" t="s">
        <v>38</v>
      </c>
      <c r="O70" s="42"/>
      <c r="S70" s="207"/>
      <c r="U70" s="70"/>
    </row>
    <row r="71" spans="1:25" x14ac:dyDescent="0.35">
      <c r="A71" s="306"/>
      <c r="B71" s="307"/>
      <c r="C71" s="308"/>
      <c r="D71" s="3" t="s">
        <v>226</v>
      </c>
      <c r="E71" s="227" t="s">
        <v>232</v>
      </c>
      <c r="F71" s="252">
        <v>0.1236</v>
      </c>
      <c r="G71" s="1">
        <f t="shared" si="15"/>
        <v>1719.2064824222039</v>
      </c>
      <c r="H71" s="164">
        <v>2.9489999999999998</v>
      </c>
      <c r="I71" s="8" t="s">
        <v>38</v>
      </c>
      <c r="J71" s="1">
        <f t="shared" si="16"/>
        <v>212.49392122738439</v>
      </c>
      <c r="K71" s="9" t="s">
        <v>38</v>
      </c>
      <c r="L71" s="230">
        <v>205370.7</v>
      </c>
      <c r="M71" s="9" t="s">
        <v>38</v>
      </c>
      <c r="O71" s="42"/>
      <c r="S71" s="207"/>
      <c r="U71" s="70"/>
    </row>
    <row r="72" spans="1:25" ht="26" x14ac:dyDescent="0.35">
      <c r="A72" s="306"/>
      <c r="B72" s="307"/>
      <c r="C72" s="308"/>
      <c r="D72" s="3" t="s">
        <v>227</v>
      </c>
      <c r="E72" s="227" t="s">
        <v>233</v>
      </c>
      <c r="F72" s="252">
        <v>5.7500000000000002E-2</v>
      </c>
      <c r="G72" s="1">
        <f t="shared" si="15"/>
        <v>2154.2891234754034</v>
      </c>
      <c r="H72" s="164">
        <v>2.9489999999999998</v>
      </c>
      <c r="I72" s="8" t="s">
        <v>38</v>
      </c>
      <c r="J72" s="1">
        <f t="shared" si="16"/>
        <v>123.8716245998357</v>
      </c>
      <c r="K72" s="9" t="s">
        <v>38</v>
      </c>
      <c r="L72" s="230">
        <v>119719.2</v>
      </c>
      <c r="M72" s="9" t="s">
        <v>38</v>
      </c>
      <c r="O72" s="42"/>
      <c r="S72" s="207"/>
      <c r="U72" s="70"/>
    </row>
    <row r="73" spans="1:25" ht="39" x14ac:dyDescent="0.35">
      <c r="A73" s="306"/>
      <c r="B73" s="307"/>
      <c r="C73" s="308"/>
      <c r="D73" s="3" t="s">
        <v>228</v>
      </c>
      <c r="E73" s="227" t="s">
        <v>234</v>
      </c>
      <c r="F73" s="252">
        <v>1.0351E-3</v>
      </c>
      <c r="G73" s="1">
        <f t="shared" si="15"/>
        <v>29914.492986616919</v>
      </c>
      <c r="H73" s="164">
        <v>2.9489999999999998</v>
      </c>
      <c r="I73" s="8" t="s">
        <v>38</v>
      </c>
      <c r="J73" s="1">
        <f t="shared" si="16"/>
        <v>30.964491690447172</v>
      </c>
      <c r="K73" s="9" t="s">
        <v>38</v>
      </c>
      <c r="L73" s="230">
        <v>29926.5</v>
      </c>
      <c r="M73" s="9" t="s">
        <v>38</v>
      </c>
      <c r="O73" s="42"/>
      <c r="S73" s="207"/>
      <c r="U73" s="70"/>
    </row>
    <row r="74" spans="1:25" ht="39" x14ac:dyDescent="0.35">
      <c r="A74" s="309"/>
      <c r="B74" s="310"/>
      <c r="C74" s="311"/>
      <c r="D74" s="3" t="s">
        <v>229</v>
      </c>
      <c r="E74" s="227" t="s">
        <v>235</v>
      </c>
      <c r="F74" s="252">
        <v>5.0099999999999999E-2</v>
      </c>
      <c r="G74" s="1">
        <f>575.1*H74</f>
        <v>1695.9699000000001</v>
      </c>
      <c r="H74" s="164">
        <v>2.9489999999999998</v>
      </c>
      <c r="I74" s="8" t="s">
        <v>38</v>
      </c>
      <c r="J74" s="1">
        <f t="shared" si="12"/>
        <v>84.968091990000005</v>
      </c>
      <c r="K74" s="9" t="s">
        <v>38</v>
      </c>
      <c r="L74" s="230">
        <v>82119.8</v>
      </c>
      <c r="M74" s="9" t="s">
        <v>38</v>
      </c>
      <c r="O74" s="42"/>
      <c r="S74" s="207"/>
      <c r="U74" s="70"/>
    </row>
    <row r="75" spans="1:25" ht="37.5" customHeight="1" x14ac:dyDescent="0.35">
      <c r="A75" s="286" t="s">
        <v>157</v>
      </c>
      <c r="B75" s="286"/>
      <c r="C75" s="286"/>
      <c r="D75" s="3" t="s">
        <v>90</v>
      </c>
      <c r="E75" s="4" t="s">
        <v>47</v>
      </c>
      <c r="F75" s="45">
        <v>0.191</v>
      </c>
      <c r="G75" s="1">
        <f>L75/(F75*966478)*1000</f>
        <v>104026.2574157505</v>
      </c>
      <c r="H75" s="164">
        <v>2.9489999999999998</v>
      </c>
      <c r="I75" s="8" t="s">
        <v>38</v>
      </c>
      <c r="J75" s="1">
        <f>L75/966.478</f>
        <v>19869.01516640835</v>
      </c>
      <c r="K75" s="7" t="s">
        <v>38</v>
      </c>
      <c r="L75" s="230">
        <f>L61-L62-L63-L67-L68-L79</f>
        <v>19202966.040000007</v>
      </c>
      <c r="M75" s="9" t="s">
        <v>38</v>
      </c>
      <c r="N75" s="165"/>
      <c r="O75" s="42"/>
      <c r="P75" s="42"/>
      <c r="Y75" s="24"/>
    </row>
    <row r="76" spans="1:25" ht="14.5" customHeight="1" x14ac:dyDescent="0.35">
      <c r="A76" s="294" t="s">
        <v>122</v>
      </c>
      <c r="B76" s="294"/>
      <c r="C76" s="294"/>
      <c r="D76" s="3" t="s">
        <v>119</v>
      </c>
      <c r="E76" s="4" t="s">
        <v>47</v>
      </c>
      <c r="F76" s="43">
        <v>1.1011E-2</v>
      </c>
      <c r="G76" s="1">
        <f>113868.2*H76</f>
        <v>335797.32179999998</v>
      </c>
      <c r="H76" s="164">
        <v>2.9489999999999998</v>
      </c>
      <c r="I76" s="8" t="s">
        <v>38</v>
      </c>
      <c r="J76" s="1">
        <f t="shared" ref="J76" si="17">G76*F76</f>
        <v>3697.4643103397998</v>
      </c>
      <c r="K76" s="8" t="s">
        <v>38</v>
      </c>
      <c r="L76" s="230">
        <f t="shared" si="14"/>
        <v>3573517.9</v>
      </c>
      <c r="M76" s="9" t="s">
        <v>38</v>
      </c>
      <c r="O76" s="42"/>
      <c r="Y76" s="206"/>
    </row>
    <row r="77" spans="1:25" ht="15" customHeight="1" x14ac:dyDescent="0.35">
      <c r="A77" s="294" t="s">
        <v>124</v>
      </c>
      <c r="B77" s="294"/>
      <c r="C77" s="294"/>
      <c r="D77" s="3" t="s">
        <v>127</v>
      </c>
      <c r="E77" s="4" t="s">
        <v>47</v>
      </c>
      <c r="F77" s="5">
        <v>5.0000000000000001E-3</v>
      </c>
      <c r="G77" s="1">
        <f>37948.9*H77</f>
        <v>111911.3061</v>
      </c>
      <c r="H77" s="164">
        <v>2.9489999999999998</v>
      </c>
      <c r="I77" s="8" t="s">
        <v>38</v>
      </c>
      <c r="J77" s="1">
        <f>G77*F77</f>
        <v>559.55653050000001</v>
      </c>
      <c r="K77" s="8" t="s">
        <v>38</v>
      </c>
      <c r="L77" s="230">
        <f t="shared" si="14"/>
        <v>540799.1</v>
      </c>
      <c r="M77" s="9" t="s">
        <v>38</v>
      </c>
      <c r="N77" s="42"/>
      <c r="O77" s="42"/>
      <c r="Y77" s="24"/>
    </row>
    <row r="78" spans="1:25" ht="15" customHeight="1" x14ac:dyDescent="0.35">
      <c r="A78" s="295" t="s">
        <v>126</v>
      </c>
      <c r="B78" s="295"/>
      <c r="C78" s="295"/>
      <c r="D78" s="3" t="s">
        <v>178</v>
      </c>
      <c r="E78" s="4" t="s">
        <v>47</v>
      </c>
      <c r="F78" s="44">
        <f>прил7!F78</f>
        <v>3.2478752749674593E-3</v>
      </c>
      <c r="G78" s="44">
        <f>прил7!G78</f>
        <v>243937.41318891366</v>
      </c>
      <c r="H78" s="44">
        <f>прил7!H78</f>
        <v>2.9489999999999998</v>
      </c>
      <c r="I78" s="44" t="str">
        <f>прил7!I78</f>
        <v>Х</v>
      </c>
      <c r="J78" s="44">
        <f>прил7!J78</f>
        <v>792.27829293579373</v>
      </c>
      <c r="K78" s="44" t="str">
        <f>прил7!K78</f>
        <v>Х</v>
      </c>
      <c r="L78" s="1">
        <f>прил7!L78</f>
        <v>765719.54</v>
      </c>
      <c r="M78" s="9" t="s">
        <v>38</v>
      </c>
      <c r="O78" s="42"/>
    </row>
    <row r="79" spans="1:25" ht="15" customHeight="1" x14ac:dyDescent="0.35">
      <c r="A79" s="286" t="s">
        <v>179</v>
      </c>
      <c r="B79" s="286"/>
      <c r="C79" s="286"/>
      <c r="D79" s="3" t="s">
        <v>92</v>
      </c>
      <c r="E79" s="4" t="s">
        <v>49</v>
      </c>
      <c r="F79" s="43">
        <f>0.06297</f>
        <v>6.2969999999999998E-2</v>
      </c>
      <c r="G79" s="1">
        <f>21490.8*H79</f>
        <v>63376.369199999994</v>
      </c>
      <c r="H79" s="164">
        <v>2.9489999999999998</v>
      </c>
      <c r="I79" s="8" t="s">
        <v>38</v>
      </c>
      <c r="J79" s="1">
        <f t="shared" si="12"/>
        <v>3990.8099685239995</v>
      </c>
      <c r="K79" s="8" t="s">
        <v>38</v>
      </c>
      <c r="L79" s="230">
        <f t="shared" si="14"/>
        <v>3857030</v>
      </c>
      <c r="M79" s="9" t="s">
        <v>38</v>
      </c>
      <c r="O79" s="42"/>
    </row>
    <row r="80" spans="1:25" ht="15" customHeight="1" x14ac:dyDescent="0.35">
      <c r="A80" s="294" t="s">
        <v>122</v>
      </c>
      <c r="B80" s="294"/>
      <c r="C80" s="294"/>
      <c r="D80" s="3" t="s">
        <v>148</v>
      </c>
      <c r="E80" s="4" t="s">
        <v>49</v>
      </c>
      <c r="F80" s="43">
        <v>7.6350999999999997E-3</v>
      </c>
      <c r="G80" s="1">
        <f>86673.2*H80</f>
        <v>255599.26679999998</v>
      </c>
      <c r="H80" s="164">
        <v>2.9489999999999998</v>
      </c>
      <c r="I80" s="8" t="s">
        <v>38</v>
      </c>
      <c r="J80" s="1">
        <f t="shared" ref="J80" si="18">G80*F80</f>
        <v>1951.5259619446797</v>
      </c>
      <c r="K80" s="8" t="s">
        <v>38</v>
      </c>
      <c r="L80" s="230">
        <f t="shared" si="14"/>
        <v>1886106.9</v>
      </c>
      <c r="M80" s="9" t="s">
        <v>38</v>
      </c>
      <c r="O80" s="42"/>
    </row>
    <row r="81" spans="1:15" ht="15.75" customHeight="1" x14ac:dyDescent="0.35">
      <c r="A81" s="294" t="s">
        <v>123</v>
      </c>
      <c r="B81" s="294"/>
      <c r="C81" s="294"/>
      <c r="D81" s="3" t="s">
        <v>149</v>
      </c>
      <c r="E81" s="4" t="s">
        <v>180</v>
      </c>
      <c r="F81" s="43">
        <v>5.0699999999999996E-4</v>
      </c>
      <c r="G81" s="1">
        <f>124728.5*H81</f>
        <v>367824.34649999999</v>
      </c>
      <c r="H81" s="164">
        <v>2.9489999999999998</v>
      </c>
      <c r="I81" s="8" t="s">
        <v>38</v>
      </c>
      <c r="J81" s="1">
        <f>G81*F81</f>
        <v>186.48694367549999</v>
      </c>
      <c r="K81" s="8" t="s">
        <v>38</v>
      </c>
      <c r="L81" s="230">
        <f t="shared" si="14"/>
        <v>180235.5</v>
      </c>
      <c r="M81" s="9" t="s">
        <v>38</v>
      </c>
      <c r="O81" s="42"/>
    </row>
    <row r="82" spans="1:15" ht="47.25" customHeight="1" x14ac:dyDescent="0.35">
      <c r="A82" s="302" t="s">
        <v>91</v>
      </c>
      <c r="B82" s="302"/>
      <c r="C82" s="302"/>
      <c r="D82" s="3" t="s">
        <v>93</v>
      </c>
      <c r="E82" s="3"/>
      <c r="F82" s="9"/>
      <c r="G82" s="27"/>
      <c r="H82" s="29"/>
      <c r="I82" s="27"/>
      <c r="J82" s="33">
        <f>J106+J84</f>
        <v>592.48</v>
      </c>
      <c r="K82" s="27"/>
      <c r="L82" s="233">
        <f>L84+L106</f>
        <v>576337.30000000005</v>
      </c>
      <c r="M82" s="21"/>
      <c r="N82" s="24"/>
      <c r="O82" s="42"/>
    </row>
    <row r="83" spans="1:15" x14ac:dyDescent="0.35">
      <c r="A83" s="286" t="s">
        <v>85</v>
      </c>
      <c r="B83" s="286"/>
      <c r="C83" s="286"/>
      <c r="D83" s="3" t="s">
        <v>150</v>
      </c>
      <c r="E83" s="3" t="s">
        <v>41</v>
      </c>
      <c r="F83" s="5"/>
      <c r="G83" s="1"/>
      <c r="H83" s="164">
        <v>2.9489999999999998</v>
      </c>
      <c r="I83" s="6" t="s">
        <v>38</v>
      </c>
      <c r="J83" s="1"/>
      <c r="K83" s="8" t="s">
        <v>38</v>
      </c>
      <c r="L83" s="165"/>
      <c r="M83" s="9" t="s">
        <v>38</v>
      </c>
      <c r="O83" s="42"/>
    </row>
    <row r="84" spans="1:15" ht="38.25" customHeight="1" x14ac:dyDescent="0.35">
      <c r="A84" s="303" t="s">
        <v>87</v>
      </c>
      <c r="B84" s="304"/>
      <c r="C84" s="305"/>
      <c r="D84" s="3" t="s">
        <v>94</v>
      </c>
      <c r="E84" s="227" t="s">
        <v>73</v>
      </c>
      <c r="F84" s="164"/>
      <c r="G84" s="164"/>
      <c r="H84" s="164">
        <v>2.9489999999999998</v>
      </c>
      <c r="I84" s="6" t="s">
        <v>38</v>
      </c>
      <c r="J84" s="11"/>
      <c r="K84" s="8" t="s">
        <v>38</v>
      </c>
      <c r="L84" s="11"/>
      <c r="M84" s="9" t="s">
        <v>38</v>
      </c>
      <c r="O84" s="42"/>
    </row>
    <row r="85" spans="1:15" ht="39" x14ac:dyDescent="0.35">
      <c r="A85" s="306"/>
      <c r="B85" s="307"/>
      <c r="C85" s="308"/>
      <c r="D85" s="3" t="s">
        <v>129</v>
      </c>
      <c r="E85" s="227" t="s">
        <v>248</v>
      </c>
      <c r="F85" s="164"/>
      <c r="G85" s="11"/>
      <c r="H85" s="164">
        <v>2.9489999999999998</v>
      </c>
      <c r="I85" s="6" t="s">
        <v>38</v>
      </c>
      <c r="J85" s="11"/>
      <c r="K85" s="8" t="s">
        <v>38</v>
      </c>
      <c r="L85" s="11"/>
      <c r="M85" s="9" t="s">
        <v>38</v>
      </c>
      <c r="O85" s="42"/>
    </row>
    <row r="86" spans="1:15" ht="26" x14ac:dyDescent="0.35">
      <c r="A86" s="306"/>
      <c r="B86" s="307"/>
      <c r="C86" s="308"/>
      <c r="D86" s="3" t="s">
        <v>170</v>
      </c>
      <c r="E86" s="227" t="s">
        <v>249</v>
      </c>
      <c r="F86" s="164"/>
      <c r="G86" s="11"/>
      <c r="H86" s="164">
        <v>2.9489999999999998</v>
      </c>
      <c r="I86" s="6"/>
      <c r="J86" s="11"/>
      <c r="K86" s="8"/>
      <c r="L86" s="11"/>
      <c r="M86" s="9"/>
      <c r="O86" s="42"/>
    </row>
    <row r="87" spans="1:15" ht="19.899999999999999" customHeight="1" x14ac:dyDescent="0.35">
      <c r="A87" s="306"/>
      <c r="B87" s="307"/>
      <c r="C87" s="308"/>
      <c r="D87" s="3" t="s">
        <v>255</v>
      </c>
      <c r="E87" s="227" t="s">
        <v>222</v>
      </c>
      <c r="F87" s="164"/>
      <c r="G87" s="11"/>
      <c r="H87" s="164">
        <v>2.9489999999999998</v>
      </c>
      <c r="I87" s="6" t="s">
        <v>38</v>
      </c>
      <c r="J87" s="11"/>
      <c r="K87" s="8" t="s">
        <v>38</v>
      </c>
      <c r="L87" s="11"/>
      <c r="M87" s="9"/>
      <c r="O87" s="42"/>
    </row>
    <row r="88" spans="1:15" ht="39" x14ac:dyDescent="0.35">
      <c r="A88" s="306"/>
      <c r="B88" s="307"/>
      <c r="C88" s="308"/>
      <c r="D88" s="3" t="s">
        <v>256</v>
      </c>
      <c r="E88" s="227" t="s">
        <v>165</v>
      </c>
      <c r="F88" s="164">
        <v>8.9999999999999993E-3</v>
      </c>
      <c r="G88" s="9" t="s">
        <v>38</v>
      </c>
      <c r="H88" s="9" t="s">
        <v>38</v>
      </c>
      <c r="I88" s="9" t="s">
        <v>38</v>
      </c>
      <c r="J88" s="9" t="s">
        <v>38</v>
      </c>
      <c r="K88" s="9" t="s">
        <v>38</v>
      </c>
      <c r="L88" s="9" t="s">
        <v>38</v>
      </c>
      <c r="M88" s="9" t="s">
        <v>38</v>
      </c>
      <c r="O88" s="42"/>
    </row>
    <row r="89" spans="1:15" ht="78" x14ac:dyDescent="0.35">
      <c r="A89" s="306"/>
      <c r="B89" s="307"/>
      <c r="C89" s="308"/>
      <c r="D89" s="3" t="s">
        <v>257</v>
      </c>
      <c r="E89" s="227" t="s">
        <v>217</v>
      </c>
      <c r="F89" s="164">
        <f>F88-F90</f>
        <v>6.9999999999999993E-3</v>
      </c>
      <c r="G89" s="11">
        <f>ROUND(427.5*H89,2)</f>
        <v>1260.7</v>
      </c>
      <c r="H89" s="164">
        <v>2.9489999999999998</v>
      </c>
      <c r="I89" s="6" t="s">
        <v>38</v>
      </c>
      <c r="J89" s="1">
        <f>ROUND(G89*F89,4)</f>
        <v>8.8248999999999995</v>
      </c>
      <c r="K89" s="8" t="s">
        <v>38</v>
      </c>
      <c r="L89" s="11">
        <f>ROUND(J89*N11/1000,1)</f>
        <v>8584.5</v>
      </c>
      <c r="M89" s="9" t="s">
        <v>38</v>
      </c>
      <c r="O89" s="42"/>
    </row>
    <row r="90" spans="1:15" ht="52" x14ac:dyDescent="0.35">
      <c r="A90" s="306"/>
      <c r="B90" s="307"/>
      <c r="C90" s="308"/>
      <c r="D90" s="3" t="s">
        <v>258</v>
      </c>
      <c r="E90" s="227" t="s">
        <v>218</v>
      </c>
      <c r="F90" s="164">
        <v>2E-3</v>
      </c>
      <c r="G90" s="11">
        <f>ROUND(2137.4*H90,2)</f>
        <v>6303.19</v>
      </c>
      <c r="H90" s="164">
        <v>2.9489999999999998</v>
      </c>
      <c r="I90" s="6" t="s">
        <v>38</v>
      </c>
      <c r="J90" s="1">
        <f>ROUND(G90*F90,4)</f>
        <v>12.606400000000001</v>
      </c>
      <c r="K90" s="8" t="s">
        <v>38</v>
      </c>
      <c r="L90" s="11">
        <f>ROUND(J90*N11/1000,1)</f>
        <v>12262.9</v>
      </c>
      <c r="M90" s="9"/>
      <c r="O90" s="42"/>
    </row>
    <row r="91" spans="1:15" ht="31.9" customHeight="1" x14ac:dyDescent="0.35">
      <c r="A91" s="306"/>
      <c r="B91" s="307"/>
      <c r="C91" s="308"/>
      <c r="D91" s="3" t="s">
        <v>95</v>
      </c>
      <c r="E91" s="227" t="s">
        <v>75</v>
      </c>
      <c r="F91" s="164"/>
      <c r="G91" s="11"/>
      <c r="H91" s="164">
        <v>2.9489999999999998</v>
      </c>
      <c r="I91" s="6" t="s">
        <v>38</v>
      </c>
      <c r="J91" s="11"/>
      <c r="K91" s="8" t="s">
        <v>38</v>
      </c>
      <c r="L91" s="11"/>
      <c r="M91" s="9" t="s">
        <v>38</v>
      </c>
      <c r="O91" s="42"/>
    </row>
    <row r="92" spans="1:15" x14ac:dyDescent="0.35">
      <c r="A92" s="306"/>
      <c r="B92" s="307"/>
      <c r="C92" s="308"/>
      <c r="D92" s="3" t="s">
        <v>151</v>
      </c>
      <c r="E92" s="227" t="s">
        <v>45</v>
      </c>
      <c r="F92" s="164"/>
      <c r="G92" s="11"/>
      <c r="H92" s="164">
        <v>2.9489999999999998</v>
      </c>
      <c r="I92" s="6" t="s">
        <v>38</v>
      </c>
      <c r="J92" s="11"/>
      <c r="K92" s="8" t="s">
        <v>38</v>
      </c>
      <c r="L92" s="11"/>
      <c r="M92" s="9" t="s">
        <v>38</v>
      </c>
      <c r="O92" s="42"/>
    </row>
    <row r="93" spans="1:15" x14ac:dyDescent="0.35">
      <c r="A93" s="306"/>
      <c r="B93" s="307"/>
      <c r="C93" s="308"/>
      <c r="D93" s="3" t="s">
        <v>259</v>
      </c>
      <c r="E93" s="227" t="s">
        <v>231</v>
      </c>
      <c r="F93" s="164"/>
      <c r="G93" s="11"/>
      <c r="H93" s="164">
        <v>2.9489999999999998</v>
      </c>
      <c r="I93" s="6" t="s">
        <v>38</v>
      </c>
      <c r="J93" s="11"/>
      <c r="K93" s="8" t="s">
        <v>38</v>
      </c>
      <c r="L93" s="11"/>
      <c r="M93" s="9" t="s">
        <v>38</v>
      </c>
      <c r="O93" s="42"/>
    </row>
    <row r="94" spans="1:15" x14ac:dyDescent="0.35">
      <c r="A94" s="306"/>
      <c r="B94" s="307"/>
      <c r="C94" s="308"/>
      <c r="D94" s="3" t="s">
        <v>260</v>
      </c>
      <c r="E94" s="227" t="s">
        <v>230</v>
      </c>
      <c r="F94" s="164"/>
      <c r="G94" s="11"/>
      <c r="H94" s="164">
        <v>2.9489999999999998</v>
      </c>
      <c r="I94" s="6" t="s">
        <v>38</v>
      </c>
      <c r="J94" s="11"/>
      <c r="K94" s="8" t="s">
        <v>38</v>
      </c>
      <c r="L94" s="11"/>
      <c r="M94" s="9" t="s">
        <v>38</v>
      </c>
      <c r="O94" s="42"/>
    </row>
    <row r="95" spans="1:15" x14ac:dyDescent="0.35">
      <c r="A95" s="306"/>
      <c r="B95" s="307"/>
      <c r="C95" s="308"/>
      <c r="D95" s="3" t="s">
        <v>261</v>
      </c>
      <c r="E95" s="227" t="s">
        <v>232</v>
      </c>
      <c r="F95" s="164"/>
      <c r="G95" s="11"/>
      <c r="H95" s="164">
        <v>2.9489999999999998</v>
      </c>
      <c r="I95" s="6" t="s">
        <v>38</v>
      </c>
      <c r="J95" s="11"/>
      <c r="K95" s="8" t="s">
        <v>38</v>
      </c>
      <c r="L95" s="11"/>
      <c r="M95" s="9" t="s">
        <v>38</v>
      </c>
      <c r="O95" s="42"/>
    </row>
    <row r="96" spans="1:15" ht="26" x14ac:dyDescent="0.35">
      <c r="A96" s="306"/>
      <c r="B96" s="307"/>
      <c r="C96" s="308"/>
      <c r="D96" s="3" t="s">
        <v>262</v>
      </c>
      <c r="E96" s="227" t="s">
        <v>233</v>
      </c>
      <c r="F96" s="164"/>
      <c r="G96" s="11"/>
      <c r="H96" s="164">
        <v>2.9489999999999998</v>
      </c>
      <c r="I96" s="6" t="s">
        <v>38</v>
      </c>
      <c r="J96" s="11"/>
      <c r="K96" s="8" t="s">
        <v>38</v>
      </c>
      <c r="L96" s="11"/>
      <c r="M96" s="9" t="s">
        <v>38</v>
      </c>
      <c r="O96" s="42"/>
    </row>
    <row r="97" spans="1:16" ht="39" x14ac:dyDescent="0.35">
      <c r="A97" s="306"/>
      <c r="B97" s="307"/>
      <c r="C97" s="308"/>
      <c r="D97" s="3" t="s">
        <v>263</v>
      </c>
      <c r="E97" s="227" t="s">
        <v>234</v>
      </c>
      <c r="F97" s="164"/>
      <c r="G97" s="11"/>
      <c r="H97" s="164">
        <v>2.9489999999999998</v>
      </c>
      <c r="I97" s="6" t="s">
        <v>38</v>
      </c>
      <c r="J97" s="11"/>
      <c r="K97" s="8" t="s">
        <v>38</v>
      </c>
      <c r="L97" s="11"/>
      <c r="M97" s="9" t="s">
        <v>38</v>
      </c>
      <c r="O97" s="42"/>
    </row>
    <row r="98" spans="1:16" ht="39" x14ac:dyDescent="0.35">
      <c r="A98" s="309"/>
      <c r="B98" s="310"/>
      <c r="C98" s="311"/>
      <c r="D98" s="3" t="s">
        <v>264</v>
      </c>
      <c r="E98" s="227" t="s">
        <v>235</v>
      </c>
      <c r="F98" s="164"/>
      <c r="G98" s="11"/>
      <c r="H98" s="164">
        <v>2.9489999999999998</v>
      </c>
      <c r="I98" s="6" t="s">
        <v>38</v>
      </c>
      <c r="J98" s="11"/>
      <c r="K98" s="8" t="s">
        <v>38</v>
      </c>
      <c r="L98" s="11"/>
      <c r="M98" s="9" t="s">
        <v>38</v>
      </c>
      <c r="O98" s="42"/>
    </row>
    <row r="99" spans="1:16" ht="25.5" customHeight="1" x14ac:dyDescent="0.35">
      <c r="A99" s="286" t="s">
        <v>157</v>
      </c>
      <c r="B99" s="286"/>
      <c r="C99" s="286"/>
      <c r="D99" s="3" t="s">
        <v>96</v>
      </c>
      <c r="E99" s="227" t="s">
        <v>47</v>
      </c>
      <c r="F99" s="45"/>
      <c r="G99" s="11"/>
      <c r="H99" s="164">
        <v>2.9489999999999998</v>
      </c>
      <c r="I99" s="6" t="s">
        <v>38</v>
      </c>
      <c r="J99" s="1"/>
      <c r="K99" s="8" t="s">
        <v>38</v>
      </c>
      <c r="L99" s="11"/>
      <c r="M99" s="9" t="s">
        <v>38</v>
      </c>
      <c r="O99" s="42"/>
    </row>
    <row r="100" spans="1:16" ht="25.5" customHeight="1" x14ac:dyDescent="0.35">
      <c r="A100" s="294" t="s">
        <v>122</v>
      </c>
      <c r="B100" s="294"/>
      <c r="C100" s="294"/>
      <c r="D100" s="3" t="s">
        <v>130</v>
      </c>
      <c r="E100" s="227" t="s">
        <v>47</v>
      </c>
      <c r="F100" s="26"/>
      <c r="G100" s="11"/>
      <c r="H100" s="164">
        <v>2.9489999999999998</v>
      </c>
      <c r="I100" s="6" t="s">
        <v>38</v>
      </c>
      <c r="J100" s="11"/>
      <c r="K100" s="8" t="s">
        <v>38</v>
      </c>
      <c r="L100" s="11"/>
      <c r="M100" s="9" t="s">
        <v>38</v>
      </c>
      <c r="O100" s="42"/>
    </row>
    <row r="101" spans="1:16" ht="25.5" customHeight="1" x14ac:dyDescent="0.35">
      <c r="A101" s="294" t="s">
        <v>124</v>
      </c>
      <c r="B101" s="294"/>
      <c r="C101" s="294"/>
      <c r="D101" s="3" t="s">
        <v>131</v>
      </c>
      <c r="E101" s="227" t="s">
        <v>47</v>
      </c>
      <c r="F101" s="45"/>
      <c r="G101" s="11"/>
      <c r="H101" s="164">
        <v>2.9489999999999998</v>
      </c>
      <c r="I101" s="6" t="s">
        <v>38</v>
      </c>
      <c r="J101" s="1"/>
      <c r="K101" s="8" t="s">
        <v>38</v>
      </c>
      <c r="L101" s="11"/>
      <c r="M101" s="9" t="s">
        <v>38</v>
      </c>
      <c r="O101" s="42"/>
    </row>
    <row r="102" spans="1:16" ht="25.5" customHeight="1" x14ac:dyDescent="0.35">
      <c r="A102" s="295" t="s">
        <v>126</v>
      </c>
      <c r="B102" s="295"/>
      <c r="C102" s="295"/>
      <c r="D102" s="3" t="s">
        <v>159</v>
      </c>
      <c r="E102" s="227" t="s">
        <v>47</v>
      </c>
      <c r="F102" s="26"/>
      <c r="G102" s="11"/>
      <c r="H102" s="164">
        <v>2.9489999999999998</v>
      </c>
      <c r="I102" s="6" t="s">
        <v>38</v>
      </c>
      <c r="J102" s="11"/>
      <c r="K102" s="8" t="s">
        <v>38</v>
      </c>
      <c r="L102" s="11"/>
      <c r="M102" s="9" t="s">
        <v>38</v>
      </c>
      <c r="O102" s="42"/>
    </row>
    <row r="103" spans="1:16" ht="15" customHeight="1" x14ac:dyDescent="0.35">
      <c r="A103" s="286" t="s">
        <v>179</v>
      </c>
      <c r="B103" s="286"/>
      <c r="C103" s="286"/>
      <c r="D103" s="3" t="s">
        <v>97</v>
      </c>
      <c r="E103" s="4" t="s">
        <v>49</v>
      </c>
      <c r="F103" s="164"/>
      <c r="G103" s="11"/>
      <c r="H103" s="164">
        <v>2.9489999999999998</v>
      </c>
      <c r="I103" s="6" t="s">
        <v>38</v>
      </c>
      <c r="J103" s="11"/>
      <c r="K103" s="8" t="s">
        <v>38</v>
      </c>
      <c r="L103" s="11"/>
      <c r="M103" s="9" t="s">
        <v>38</v>
      </c>
      <c r="O103" s="42"/>
    </row>
    <row r="104" spans="1:16" ht="15" customHeight="1" x14ac:dyDescent="0.35">
      <c r="A104" s="294" t="s">
        <v>122</v>
      </c>
      <c r="B104" s="294"/>
      <c r="C104" s="294"/>
      <c r="D104" s="3" t="s">
        <v>152</v>
      </c>
      <c r="E104" s="4" t="s">
        <v>49</v>
      </c>
      <c r="F104" s="164"/>
      <c r="G104" s="11"/>
      <c r="H104" s="164">
        <v>2.9489999999999998</v>
      </c>
      <c r="I104" s="6" t="s">
        <v>38</v>
      </c>
      <c r="J104" s="11"/>
      <c r="K104" s="8" t="s">
        <v>38</v>
      </c>
      <c r="L104" s="11"/>
      <c r="M104" s="9" t="s">
        <v>38</v>
      </c>
      <c r="O104" s="42"/>
    </row>
    <row r="105" spans="1:16" ht="15" customHeight="1" x14ac:dyDescent="0.35">
      <c r="A105" s="294" t="s">
        <v>123</v>
      </c>
      <c r="B105" s="294"/>
      <c r="C105" s="294"/>
      <c r="D105" s="3" t="s">
        <v>153</v>
      </c>
      <c r="E105" s="4" t="s">
        <v>177</v>
      </c>
      <c r="F105" s="164"/>
      <c r="G105" s="11"/>
      <c r="H105" s="164">
        <v>2.9489999999999998</v>
      </c>
      <c r="I105" s="6" t="s">
        <v>38</v>
      </c>
      <c r="J105" s="11"/>
      <c r="K105" s="8" t="s">
        <v>38</v>
      </c>
      <c r="L105" s="11"/>
      <c r="M105" s="9" t="s">
        <v>38</v>
      </c>
      <c r="O105" s="42"/>
    </row>
    <row r="106" spans="1:16" ht="15" customHeight="1" x14ac:dyDescent="0.35">
      <c r="A106" s="312" t="s">
        <v>181</v>
      </c>
      <c r="B106" s="312"/>
      <c r="C106" s="312"/>
      <c r="D106" s="3" t="s">
        <v>99</v>
      </c>
      <c r="E106" s="4" t="s">
        <v>52</v>
      </c>
      <c r="F106" s="43">
        <v>9.1999999999999998E-2</v>
      </c>
      <c r="G106" s="11">
        <f>ROUND(2183.8*H106,2)</f>
        <v>6440.03</v>
      </c>
      <c r="H106" s="164">
        <v>2.9489999999999998</v>
      </c>
      <c r="I106" s="6" t="s">
        <v>38</v>
      </c>
      <c r="J106" s="164">
        <f>ROUND(G106*F106,2)</f>
        <v>592.48</v>
      </c>
      <c r="K106" s="8" t="s">
        <v>38</v>
      </c>
      <c r="L106" s="11">
        <f>ROUND(J106*N11/1000,1)</f>
        <v>576337.30000000005</v>
      </c>
      <c r="M106" s="9" t="s">
        <v>38</v>
      </c>
      <c r="O106" s="42"/>
    </row>
    <row r="107" spans="1:16" ht="12.75" customHeight="1" x14ac:dyDescent="0.35">
      <c r="A107" s="312" t="s">
        <v>155</v>
      </c>
      <c r="B107" s="312"/>
      <c r="C107" s="312"/>
      <c r="D107" s="3" t="s">
        <v>154</v>
      </c>
      <c r="E107" s="4" t="s">
        <v>55</v>
      </c>
      <c r="F107" s="43" t="s">
        <v>38</v>
      </c>
      <c r="G107" s="43" t="s">
        <v>38</v>
      </c>
      <c r="H107" s="164">
        <v>2.9489999999999998</v>
      </c>
      <c r="I107" s="6" t="s">
        <v>38</v>
      </c>
      <c r="J107" s="1"/>
      <c r="K107" s="8" t="s">
        <v>38</v>
      </c>
      <c r="L107" s="165"/>
      <c r="M107" s="9" t="s">
        <v>38</v>
      </c>
      <c r="O107" s="42"/>
    </row>
    <row r="108" spans="1:16" ht="15" customHeight="1" x14ac:dyDescent="0.35">
      <c r="A108" s="292" t="s">
        <v>98</v>
      </c>
      <c r="B108" s="292"/>
      <c r="C108" s="292"/>
      <c r="D108" s="20" t="s">
        <v>156</v>
      </c>
      <c r="E108" s="20"/>
      <c r="F108" s="19" t="s">
        <v>38</v>
      </c>
      <c r="G108" s="19" t="s">
        <v>38</v>
      </c>
      <c r="H108" s="164">
        <v>2.9489999999999998</v>
      </c>
      <c r="I108" s="21">
        <f>прил6!F12</f>
        <v>9232.9879907972627</v>
      </c>
      <c r="J108" s="21">
        <f>J34</f>
        <v>40676.896049366871</v>
      </c>
      <c r="K108" s="21">
        <f>K11+K29</f>
        <v>8981426</v>
      </c>
      <c r="L108" s="21">
        <f>L34</f>
        <v>39313325.140000001</v>
      </c>
      <c r="M108" s="46"/>
      <c r="N108" s="24"/>
      <c r="O108" s="42"/>
      <c r="P108" s="24"/>
    </row>
    <row r="109" spans="1:16" x14ac:dyDescent="0.35">
      <c r="K109" s="66">
        <v>9213842.1999999993</v>
      </c>
      <c r="L109" s="67">
        <f>K108-K109</f>
        <v>-232416.19999999925</v>
      </c>
      <c r="M109" s="67"/>
      <c r="N109" s="24"/>
      <c r="O109" s="24"/>
    </row>
    <row r="110" spans="1:16" x14ac:dyDescent="0.35">
      <c r="A110" s="316" t="s">
        <v>160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</row>
    <row r="111" spans="1:16" x14ac:dyDescent="0.35">
      <c r="A111" s="317" t="s">
        <v>162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</row>
    <row r="112" spans="1:16" x14ac:dyDescent="0.35">
      <c r="A112" s="317" t="s">
        <v>163</v>
      </c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  <row r="113" spans="1:13" x14ac:dyDescent="0.3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</row>
    <row r="114" spans="1:13" x14ac:dyDescent="0.35">
      <c r="A114" s="265"/>
      <c r="B114" s="265"/>
      <c r="C114" s="265"/>
      <c r="D114" s="265"/>
      <c r="E114" s="265"/>
      <c r="F114" s="48"/>
      <c r="G114" s="48"/>
      <c r="H114" s="48"/>
      <c r="I114" s="48"/>
      <c r="J114" s="48"/>
      <c r="K114" s="48"/>
      <c r="L114" s="224"/>
      <c r="M114" s="48"/>
    </row>
    <row r="115" spans="1:13" x14ac:dyDescent="0.35">
      <c r="A115" s="319" t="s">
        <v>100</v>
      </c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</row>
    <row r="116" spans="1:13" x14ac:dyDescent="0.35">
      <c r="C116" s="49" t="s">
        <v>101</v>
      </c>
      <c r="D116" s="328" t="s">
        <v>102</v>
      </c>
      <c r="E116" s="314"/>
      <c r="F116" s="315"/>
      <c r="G116" s="49" t="s">
        <v>103</v>
      </c>
      <c r="H116" s="50"/>
      <c r="I116" s="329" t="s">
        <v>104</v>
      </c>
      <c r="J116" s="330"/>
      <c r="M116" s="51"/>
    </row>
    <row r="117" spans="1:13" x14ac:dyDescent="0.35">
      <c r="C117" s="52" t="s">
        <v>105</v>
      </c>
      <c r="D117" s="313">
        <f>K12+L62</f>
        <v>2831702.1892499998</v>
      </c>
      <c r="E117" s="314"/>
      <c r="F117" s="315"/>
      <c r="G117" s="53">
        <f>D117/D127*100</f>
        <v>5.8633746368032318</v>
      </c>
      <c r="H117" s="53"/>
      <c r="I117" s="54">
        <f>D117</f>
        <v>2831702.1892499998</v>
      </c>
      <c r="J117" s="49"/>
      <c r="M117" s="47"/>
    </row>
    <row r="118" spans="1:13" x14ac:dyDescent="0.35">
      <c r="C118" s="52" t="s">
        <v>106</v>
      </c>
      <c r="D118" s="313">
        <f>K15+L36</f>
        <v>5694236.4813897898</v>
      </c>
      <c r="E118" s="314"/>
      <c r="F118" s="315"/>
      <c r="G118" s="53">
        <f>D118/D127*100</f>
        <v>11.790590792947588</v>
      </c>
      <c r="H118" s="53"/>
      <c r="I118" s="54">
        <f>D118</f>
        <v>5694236.4813897898</v>
      </c>
      <c r="J118" s="49"/>
      <c r="L118" s="47">
        <f>K108+L108</f>
        <v>48294751.140000001</v>
      </c>
    </row>
    <row r="119" spans="1:13" x14ac:dyDescent="0.35">
      <c r="C119" s="52" t="s">
        <v>107</v>
      </c>
      <c r="D119" s="313">
        <f>K19+L68</f>
        <v>8012634.4408162339</v>
      </c>
      <c r="E119" s="314"/>
      <c r="F119" s="315"/>
      <c r="G119" s="53">
        <f>D119/D127*100</f>
        <v>16.591108250229269</v>
      </c>
      <c r="H119" s="53"/>
      <c r="I119" s="54">
        <f>D119</f>
        <v>8012634.4408162339</v>
      </c>
      <c r="J119" s="49"/>
    </row>
    <row r="120" spans="1:13" x14ac:dyDescent="0.35">
      <c r="C120" s="52" t="s">
        <v>108</v>
      </c>
      <c r="D120" s="313">
        <f>L67</f>
        <v>1031182</v>
      </c>
      <c r="E120" s="314"/>
      <c r="F120" s="315"/>
      <c r="G120" s="53">
        <f>D120/D127*100</f>
        <v>2.135184415819313</v>
      </c>
      <c r="H120" s="53"/>
      <c r="I120" s="54">
        <f>D120</f>
        <v>1031182</v>
      </c>
      <c r="J120" s="49"/>
      <c r="L120" s="47"/>
    </row>
    <row r="121" spans="1:13" x14ac:dyDescent="0.35">
      <c r="C121" s="52" t="s">
        <v>109</v>
      </c>
      <c r="D121" s="313">
        <f>K24+L79</f>
        <v>4018625.7314286535</v>
      </c>
      <c r="E121" s="314"/>
      <c r="F121" s="315"/>
      <c r="G121" s="53">
        <f>D121/D127*100</f>
        <v>8.3210403544252607</v>
      </c>
      <c r="H121" s="53"/>
      <c r="I121" s="49"/>
      <c r="J121" s="49"/>
    </row>
    <row r="122" spans="1:13" x14ac:dyDescent="0.35">
      <c r="C122" s="52" t="s">
        <v>110</v>
      </c>
      <c r="D122" s="313">
        <f>K22+L51+K28</f>
        <v>22837442.347077873</v>
      </c>
      <c r="E122" s="314"/>
      <c r="F122" s="315"/>
      <c r="G122" s="53">
        <f>D122/D127*100</f>
        <v>47.287628174902885</v>
      </c>
      <c r="H122" s="53"/>
      <c r="I122" s="49"/>
      <c r="J122" s="49"/>
    </row>
    <row r="123" spans="1:13" x14ac:dyDescent="0.35">
      <c r="C123" s="55" t="s">
        <v>111</v>
      </c>
      <c r="D123" s="313">
        <f>K28+L78</f>
        <v>983880.74</v>
      </c>
      <c r="E123" s="326"/>
      <c r="F123" s="327"/>
      <c r="G123" s="53">
        <f>D123/D127*100</f>
        <v>2.0372415568471651</v>
      </c>
      <c r="H123" s="53"/>
      <c r="I123" s="49"/>
      <c r="J123" s="49"/>
    </row>
    <row r="124" spans="1:13" x14ac:dyDescent="0.35">
      <c r="C124" s="55" t="s">
        <v>112</v>
      </c>
      <c r="D124" s="313">
        <f>L53</f>
        <v>540799.1</v>
      </c>
      <c r="E124" s="314"/>
      <c r="F124" s="315"/>
      <c r="G124" s="53">
        <f>D124/D127*100</f>
        <v>1.1197885634244102</v>
      </c>
      <c r="H124" s="53"/>
      <c r="I124" s="49"/>
      <c r="J124" s="49"/>
    </row>
    <row r="125" spans="1:13" x14ac:dyDescent="0.35">
      <c r="C125" s="52" t="s">
        <v>113</v>
      </c>
      <c r="D125" s="313">
        <f>L106</f>
        <v>576337.30000000005</v>
      </c>
      <c r="E125" s="314"/>
      <c r="F125" s="315"/>
      <c r="G125" s="53">
        <f>D125/D127*100</f>
        <v>1.1933746140015828</v>
      </c>
      <c r="H125" s="53"/>
      <c r="I125" s="49"/>
      <c r="J125" s="49"/>
    </row>
    <row r="126" spans="1:13" x14ac:dyDescent="0.35">
      <c r="C126" s="52" t="s">
        <v>114</v>
      </c>
      <c r="D126" s="313">
        <f>K27+L59+K29</f>
        <v>3292590.6500374535</v>
      </c>
      <c r="E126" s="314"/>
      <c r="F126" s="315"/>
      <c r="G126" s="53">
        <f>D126/D127*100</f>
        <v>6.8176987608708757</v>
      </c>
      <c r="H126" s="53"/>
      <c r="I126" s="49"/>
      <c r="J126" s="49"/>
    </row>
    <row r="127" spans="1:13" x14ac:dyDescent="0.35">
      <c r="C127" s="52" t="s">
        <v>115</v>
      </c>
      <c r="D127" s="313">
        <f>D117+D118+D119+D120+D121+D122+D125+D126</f>
        <v>48294751.140000001</v>
      </c>
      <c r="E127" s="314"/>
      <c r="F127" s="315"/>
      <c r="G127" s="54">
        <f>G117+G118+G119+G120+G121+G122+G125+G126</f>
        <v>100</v>
      </c>
      <c r="H127" s="54"/>
      <c r="I127" s="54">
        <f>I117+I118+I119+I120</f>
        <v>17569755.111456025</v>
      </c>
      <c r="J127" s="49">
        <f>I127/D127*100</f>
        <v>36.380258095799405</v>
      </c>
    </row>
    <row r="129" spans="6:12" x14ac:dyDescent="0.35">
      <c r="F129" s="47"/>
      <c r="K129" s="47"/>
    </row>
    <row r="130" spans="6:12" x14ac:dyDescent="0.35">
      <c r="F130" s="47"/>
      <c r="K130" s="47"/>
      <c r="L130" s="47"/>
    </row>
  </sheetData>
  <mergeCells count="89">
    <mergeCell ref="I1:M1"/>
    <mergeCell ref="A3:M3"/>
    <mergeCell ref="A4:M4"/>
    <mergeCell ref="A5:M5"/>
    <mergeCell ref="K7:M7"/>
    <mergeCell ref="A7:C9"/>
    <mergeCell ref="I8:J8"/>
    <mergeCell ref="K8:L8"/>
    <mergeCell ref="M8:M9"/>
    <mergeCell ref="I7:J7"/>
    <mergeCell ref="D7:D9"/>
    <mergeCell ref="E7:E9"/>
    <mergeCell ref="F7:F9"/>
    <mergeCell ref="H7:H9"/>
    <mergeCell ref="G7:G9"/>
    <mergeCell ref="A10:C10"/>
    <mergeCell ref="A11:C11"/>
    <mergeCell ref="A12:C12"/>
    <mergeCell ref="A13:C13"/>
    <mergeCell ref="A15:C19"/>
    <mergeCell ref="A14:C14"/>
    <mergeCell ref="A24:C24"/>
    <mergeCell ref="A25:C25"/>
    <mergeCell ref="A35:C35"/>
    <mergeCell ref="A20:C21"/>
    <mergeCell ref="A26:C26"/>
    <mergeCell ref="A27:C27"/>
    <mergeCell ref="A28:C28"/>
    <mergeCell ref="A29:C29"/>
    <mergeCell ref="A22:C22"/>
    <mergeCell ref="A30:C30"/>
    <mergeCell ref="A31:C31"/>
    <mergeCell ref="A32:C32"/>
    <mergeCell ref="A33:C33"/>
    <mergeCell ref="A34:C34"/>
    <mergeCell ref="A23:C23"/>
    <mergeCell ref="A115:M115"/>
    <mergeCell ref="A83:C83"/>
    <mergeCell ref="A99:C99"/>
    <mergeCell ref="A62:C62"/>
    <mergeCell ref="A75:C75"/>
    <mergeCell ref="A77:C77"/>
    <mergeCell ref="A78:C78"/>
    <mergeCell ref="A79:C79"/>
    <mergeCell ref="A82:C82"/>
    <mergeCell ref="A102:C102"/>
    <mergeCell ref="A100:C100"/>
    <mergeCell ref="A103:C103"/>
    <mergeCell ref="A112:M112"/>
    <mergeCell ref="A113:M113"/>
    <mergeCell ref="A108:C108"/>
    <mergeCell ref="A110:M110"/>
    <mergeCell ref="D118:F118"/>
    <mergeCell ref="D116:F116"/>
    <mergeCell ref="I116:J116"/>
    <mergeCell ref="D117:F117"/>
    <mergeCell ref="D119:F119"/>
    <mergeCell ref="D127:F127"/>
    <mergeCell ref="D120:F120"/>
    <mergeCell ref="D121:F121"/>
    <mergeCell ref="D122:F122"/>
    <mergeCell ref="D123:F123"/>
    <mergeCell ref="D124:F124"/>
    <mergeCell ref="D125:F125"/>
    <mergeCell ref="D126:F126"/>
    <mergeCell ref="A111:M111"/>
    <mergeCell ref="A60:C60"/>
    <mergeCell ref="A107:C107"/>
    <mergeCell ref="A61:C61"/>
    <mergeCell ref="A101:C101"/>
    <mergeCell ref="A104:C104"/>
    <mergeCell ref="A105:C105"/>
    <mergeCell ref="A76:C76"/>
    <mergeCell ref="A80:C80"/>
    <mergeCell ref="A81:C81"/>
    <mergeCell ref="A59:C59"/>
    <mergeCell ref="A106:C106"/>
    <mergeCell ref="A56:C56"/>
    <mergeCell ref="A57:C57"/>
    <mergeCell ref="A63:C74"/>
    <mergeCell ref="A84:C98"/>
    <mergeCell ref="B36:B50"/>
    <mergeCell ref="A36:A50"/>
    <mergeCell ref="A54:C54"/>
    <mergeCell ref="A52:C52"/>
    <mergeCell ref="A58:C58"/>
    <mergeCell ref="A51:C51"/>
    <mergeCell ref="A55:C55"/>
    <mergeCell ref="A53:C53"/>
  </mergeCells>
  <phoneticPr fontId="25" type="noConversion"/>
  <printOptions horizontalCentered="1"/>
  <pageMargins left="0.39370078740157483" right="0.39370078740157483" top="0.98425196850393704" bottom="0.39370078740157483" header="0.31496062992125984" footer="0.31496062992125984"/>
  <pageSetup paperSize="9" scale="60" orientation="landscape" horizontalDpi="300" verticalDpi="300" r:id="rId1"/>
  <headerFooter differentFirst="1">
    <oddHeader>&amp;C&amp;P</oddHead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29"/>
  <sheetViews>
    <sheetView view="pageBreakPreview" topLeftCell="A91" zoomScale="55" zoomScaleNormal="80" zoomScaleSheetLayoutView="55" workbookViewId="0">
      <selection activeCell="M41" sqref="M41"/>
    </sheetView>
  </sheetViews>
  <sheetFormatPr defaultColWidth="9.26953125" defaultRowHeight="14.5" x14ac:dyDescent="0.35"/>
  <cols>
    <col min="1" max="1" width="9.26953125" style="163" customWidth="1"/>
    <col min="2" max="2" width="9.26953125" style="163"/>
    <col min="3" max="3" width="42.26953125" style="163" customWidth="1"/>
    <col min="4" max="4" width="9" style="163" customWidth="1"/>
    <col min="5" max="5" width="27.26953125" style="163" customWidth="1"/>
    <col min="6" max="6" width="21.7265625" style="15" customWidth="1"/>
    <col min="7" max="7" width="18.7265625" style="15" customWidth="1"/>
    <col min="8" max="8" width="10.26953125" style="15" customWidth="1"/>
    <col min="9" max="9" width="16.54296875" style="15" customWidth="1"/>
    <col min="10" max="10" width="13.453125" style="15" customWidth="1"/>
    <col min="11" max="11" width="16.7265625" style="15" customWidth="1"/>
    <col min="12" max="12" width="15.7265625" style="15" customWidth="1"/>
    <col min="13" max="13" width="17.453125" style="15" customWidth="1"/>
    <col min="14" max="15" width="17.26953125" style="163" customWidth="1"/>
    <col min="16" max="16" width="15.54296875" style="163" customWidth="1"/>
    <col min="17" max="17" width="12" style="163" bestFit="1" customWidth="1"/>
    <col min="18" max="21" width="9.26953125" style="163"/>
    <col min="22" max="22" width="10.54296875" style="163" bestFit="1" customWidth="1"/>
    <col min="23" max="16384" width="9.26953125" style="163"/>
  </cols>
  <sheetData>
    <row r="1" spans="1:16" s="12" customFormat="1" ht="66" customHeight="1" x14ac:dyDescent="0.35">
      <c r="F1" s="13"/>
      <c r="G1" s="13"/>
      <c r="H1" s="13"/>
      <c r="I1" s="282" t="s">
        <v>273</v>
      </c>
      <c r="J1" s="282"/>
      <c r="K1" s="282"/>
      <c r="L1" s="282"/>
      <c r="M1" s="282"/>
      <c r="N1" s="14"/>
      <c r="O1" s="14"/>
    </row>
    <row r="3" spans="1:16" ht="20" x14ac:dyDescent="0.4">
      <c r="A3" s="331" t="s">
        <v>22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6" ht="20" x14ac:dyDescent="0.4">
      <c r="A4" s="331" t="s">
        <v>23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6" ht="20" x14ac:dyDescent="0.4">
      <c r="A5" s="331" t="s">
        <v>221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6" ht="15.65" x14ac:dyDescent="0.3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</row>
    <row r="7" spans="1:16" ht="40.5" customHeight="1" x14ac:dyDescent="0.35">
      <c r="A7" s="332"/>
      <c r="B7" s="333"/>
      <c r="C7" s="334"/>
      <c r="D7" s="345" t="s">
        <v>24</v>
      </c>
      <c r="E7" s="345" t="s">
        <v>25</v>
      </c>
      <c r="F7" s="332" t="s">
        <v>26</v>
      </c>
      <c r="G7" s="332" t="s">
        <v>27</v>
      </c>
      <c r="H7" s="348" t="s">
        <v>28</v>
      </c>
      <c r="I7" s="341" t="s">
        <v>29</v>
      </c>
      <c r="J7" s="342"/>
      <c r="K7" s="285" t="s">
        <v>30</v>
      </c>
      <c r="L7" s="285"/>
      <c r="M7" s="285"/>
    </row>
    <row r="8" spans="1:16" ht="14.65" customHeight="1" x14ac:dyDescent="0.35">
      <c r="A8" s="335"/>
      <c r="B8" s="336"/>
      <c r="C8" s="337"/>
      <c r="D8" s="346"/>
      <c r="E8" s="346"/>
      <c r="F8" s="335"/>
      <c r="G8" s="335"/>
      <c r="H8" s="349"/>
      <c r="I8" s="341" t="s">
        <v>31</v>
      </c>
      <c r="J8" s="342"/>
      <c r="K8" s="285" t="s">
        <v>32</v>
      </c>
      <c r="L8" s="285"/>
      <c r="M8" s="343" t="s">
        <v>33</v>
      </c>
    </row>
    <row r="9" spans="1:16" ht="75" customHeight="1" x14ac:dyDescent="0.35">
      <c r="A9" s="338"/>
      <c r="B9" s="339"/>
      <c r="C9" s="340"/>
      <c r="D9" s="347"/>
      <c r="E9" s="347"/>
      <c r="F9" s="338"/>
      <c r="G9" s="338"/>
      <c r="H9" s="350"/>
      <c r="I9" s="266" t="s">
        <v>34</v>
      </c>
      <c r="J9" s="266" t="s">
        <v>35</v>
      </c>
      <c r="K9" s="260" t="s">
        <v>34</v>
      </c>
      <c r="L9" s="260" t="s">
        <v>36</v>
      </c>
      <c r="M9" s="344"/>
    </row>
    <row r="10" spans="1:16" x14ac:dyDescent="0.3">
      <c r="A10" s="287"/>
      <c r="B10" s="287"/>
      <c r="C10" s="287"/>
      <c r="D10" s="262">
        <v>1</v>
      </c>
      <c r="E10" s="56">
        <v>2</v>
      </c>
      <c r="F10" s="57">
        <v>3</v>
      </c>
      <c r="G10" s="57">
        <v>4</v>
      </c>
      <c r="H10" s="57"/>
      <c r="I10" s="19">
        <v>5</v>
      </c>
      <c r="J10" s="19">
        <v>6</v>
      </c>
      <c r="K10" s="19">
        <v>7</v>
      </c>
      <c r="L10" s="19">
        <v>8</v>
      </c>
      <c r="M10" s="19">
        <v>9</v>
      </c>
    </row>
    <row r="11" spans="1:16" ht="45" customHeight="1" x14ac:dyDescent="0.35">
      <c r="A11" s="288" t="s">
        <v>37</v>
      </c>
      <c r="B11" s="288"/>
      <c r="C11" s="288"/>
      <c r="D11" s="20" t="s">
        <v>7</v>
      </c>
      <c r="E11" s="20"/>
      <c r="F11" s="9" t="s">
        <v>38</v>
      </c>
      <c r="G11" s="9" t="s">
        <v>38</v>
      </c>
      <c r="H11" s="164">
        <v>2.9489999999999998</v>
      </c>
      <c r="I11" s="11">
        <f>K11/N11*1000</f>
        <v>9177.5273045984213</v>
      </c>
      <c r="J11" s="9" t="s">
        <v>38</v>
      </c>
      <c r="K11" s="21">
        <f>K12+K15+K19+K22+K24+K26+K27+K28</f>
        <v>8942380.6999999993</v>
      </c>
      <c r="L11" s="9" t="s">
        <v>38</v>
      </c>
      <c r="M11" s="21">
        <f>ROUND(K11/(K108+L108)*100,2)</f>
        <v>17.75</v>
      </c>
      <c r="N11" s="163">
        <v>974378</v>
      </c>
      <c r="P11" s="163" t="s">
        <v>39</v>
      </c>
    </row>
    <row r="12" spans="1:16" ht="33" customHeight="1" x14ac:dyDescent="0.35">
      <c r="A12" s="289" t="s">
        <v>40</v>
      </c>
      <c r="B12" s="289"/>
      <c r="C12" s="289"/>
      <c r="D12" s="3" t="s">
        <v>9</v>
      </c>
      <c r="E12" s="3" t="s">
        <v>41</v>
      </c>
      <c r="F12" s="22">
        <f>1300/N11+F13</f>
        <v>3.8999238488553723E-3</v>
      </c>
      <c r="G12" s="11">
        <f>I12/F12</f>
        <v>186962.12901315789</v>
      </c>
      <c r="H12" s="164">
        <v>2.9489999999999998</v>
      </c>
      <c r="I12" s="11">
        <f>K12/N11*1000</f>
        <v>729.13806577118942</v>
      </c>
      <c r="J12" s="9" t="s">
        <v>38</v>
      </c>
      <c r="K12" s="11">
        <f>K13+K14</f>
        <v>710456.09025000001</v>
      </c>
      <c r="L12" s="9" t="s">
        <v>38</v>
      </c>
      <c r="M12" s="9" t="s">
        <v>38</v>
      </c>
      <c r="N12" s="23"/>
      <c r="O12" s="23"/>
      <c r="P12" s="24"/>
    </row>
    <row r="13" spans="1:16" ht="15" customHeight="1" x14ac:dyDescent="0.35">
      <c r="A13" s="290" t="s">
        <v>42</v>
      </c>
      <c r="B13" s="290"/>
      <c r="C13" s="290"/>
      <c r="D13" s="3" t="s">
        <v>10</v>
      </c>
      <c r="E13" s="263" t="s">
        <v>41</v>
      </c>
      <c r="F13" s="22">
        <f>2500/N11</f>
        <v>2.5657393742469555E-3</v>
      </c>
      <c r="G13" s="11">
        <f>G62</f>
        <v>7864.6881000000003</v>
      </c>
      <c r="H13" s="164">
        <v>2.9489999999999998</v>
      </c>
      <c r="I13" s="11">
        <f>G13*F13</f>
        <v>20.178739924341478</v>
      </c>
      <c r="J13" s="9" t="s">
        <v>38</v>
      </c>
      <c r="K13" s="11">
        <f>I13*N11/1000</f>
        <v>19661.720249999998</v>
      </c>
      <c r="L13" s="9" t="s">
        <v>38</v>
      </c>
      <c r="M13" s="9" t="s">
        <v>38</v>
      </c>
      <c r="N13" s="24">
        <f>9575730.2-L82</f>
        <v>8942380.6999999993</v>
      </c>
    </row>
    <row r="14" spans="1:16" ht="37.5" customHeight="1" x14ac:dyDescent="0.35">
      <c r="A14" s="290" t="s">
        <v>244</v>
      </c>
      <c r="B14" s="290"/>
      <c r="C14" s="290"/>
      <c r="D14" s="3" t="s">
        <v>10</v>
      </c>
      <c r="E14" s="263" t="s">
        <v>41</v>
      </c>
      <c r="F14" s="22">
        <f>1300/N11</f>
        <v>1.3341844746084168E-3</v>
      </c>
      <c r="G14" s="11">
        <f>I14/F14</f>
        <v>531380.28461538465</v>
      </c>
      <c r="H14" s="164">
        <v>2.9489999999999998</v>
      </c>
      <c r="I14" s="11">
        <f>K14/N11*1000</f>
        <v>708.95932584684795</v>
      </c>
      <c r="J14" s="9" t="s">
        <v>38</v>
      </c>
      <c r="K14" s="11">
        <v>690794.37</v>
      </c>
      <c r="L14" s="9" t="s">
        <v>38</v>
      </c>
      <c r="M14" s="9" t="s">
        <v>38</v>
      </c>
      <c r="N14" s="24">
        <f>N13-K11</f>
        <v>0</v>
      </c>
    </row>
    <row r="15" spans="1:16" ht="39" x14ac:dyDescent="0.35">
      <c r="A15" s="286" t="s">
        <v>43</v>
      </c>
      <c r="B15" s="286"/>
      <c r="C15" s="286"/>
      <c r="D15" s="3" t="s">
        <v>11</v>
      </c>
      <c r="E15" s="4" t="s">
        <v>44</v>
      </c>
      <c r="F15" s="164">
        <v>0.73</v>
      </c>
      <c r="G15" s="11">
        <f>504.5*H15</f>
        <v>1487.7704999999999</v>
      </c>
      <c r="H15" s="164">
        <v>2.9489999999999998</v>
      </c>
      <c r="I15" s="11">
        <f>G15*F15</f>
        <v>1086.072465</v>
      </c>
      <c r="J15" s="9" t="s">
        <v>38</v>
      </c>
      <c r="K15" s="11">
        <f>I15*N11/1000</f>
        <v>1058245.1163017699</v>
      </c>
      <c r="L15" s="9" t="s">
        <v>38</v>
      </c>
      <c r="M15" s="9" t="s">
        <v>38</v>
      </c>
    </row>
    <row r="16" spans="1:16" ht="45" customHeight="1" x14ac:dyDescent="0.35">
      <c r="A16" s="286"/>
      <c r="B16" s="286"/>
      <c r="C16" s="286"/>
      <c r="D16" s="3" t="s">
        <v>164</v>
      </c>
      <c r="E16" s="4" t="s">
        <v>165</v>
      </c>
      <c r="F16" s="164"/>
      <c r="G16" s="11"/>
      <c r="H16" s="164"/>
      <c r="I16" s="11"/>
      <c r="J16" s="9" t="s">
        <v>38</v>
      </c>
      <c r="K16" s="11"/>
      <c r="L16" s="9" t="s">
        <v>38</v>
      </c>
      <c r="M16" s="9" t="s">
        <v>38</v>
      </c>
    </row>
    <row r="17" spans="1:16" ht="82.5" customHeight="1" x14ac:dyDescent="0.35">
      <c r="A17" s="286"/>
      <c r="B17" s="286"/>
      <c r="C17" s="286"/>
      <c r="D17" s="3" t="s">
        <v>166</v>
      </c>
      <c r="E17" s="4" t="s">
        <v>217</v>
      </c>
      <c r="F17" s="164"/>
      <c r="G17" s="11"/>
      <c r="H17" s="164"/>
      <c r="I17" s="11"/>
      <c r="J17" s="9" t="s">
        <v>38</v>
      </c>
      <c r="K17" s="11"/>
      <c r="L17" s="9" t="s">
        <v>38</v>
      </c>
      <c r="M17" s="9" t="s">
        <v>38</v>
      </c>
    </row>
    <row r="18" spans="1:16" ht="54.75" customHeight="1" x14ac:dyDescent="0.35">
      <c r="A18" s="286"/>
      <c r="B18" s="286"/>
      <c r="C18" s="286"/>
      <c r="D18" s="3" t="s">
        <v>216</v>
      </c>
      <c r="E18" s="4" t="s">
        <v>218</v>
      </c>
      <c r="F18" s="164"/>
      <c r="G18" s="11"/>
      <c r="H18" s="164"/>
      <c r="I18" s="11"/>
      <c r="J18" s="9" t="s">
        <v>38</v>
      </c>
      <c r="K18" s="11"/>
      <c r="L18" s="9" t="s">
        <v>38</v>
      </c>
      <c r="M18" s="9" t="s">
        <v>38</v>
      </c>
    </row>
    <row r="19" spans="1:16" x14ac:dyDescent="0.35">
      <c r="A19" s="286"/>
      <c r="B19" s="286"/>
      <c r="C19" s="286"/>
      <c r="D19" s="3" t="s">
        <v>13</v>
      </c>
      <c r="E19" s="4" t="s">
        <v>45</v>
      </c>
      <c r="F19" s="164">
        <v>0.14399999999999999</v>
      </c>
      <c r="G19" s="11">
        <f>1462.9*H19</f>
        <v>4314.0920999999998</v>
      </c>
      <c r="H19" s="164">
        <v>2.9489999999999998</v>
      </c>
      <c r="I19" s="11">
        <f>G19*F19</f>
        <v>621.22926239999993</v>
      </c>
      <c r="J19" s="9" t="s">
        <v>38</v>
      </c>
      <c r="K19" s="11">
        <f>I19*N11/1000</f>
        <v>605312.1262387872</v>
      </c>
      <c r="L19" s="9" t="s">
        <v>38</v>
      </c>
      <c r="M19" s="9" t="s">
        <v>38</v>
      </c>
    </row>
    <row r="20" spans="1:16" ht="45" customHeight="1" x14ac:dyDescent="0.35">
      <c r="A20" s="291" t="s">
        <v>42</v>
      </c>
      <c r="B20" s="291"/>
      <c r="C20" s="291"/>
      <c r="D20" s="3" t="s">
        <v>14</v>
      </c>
      <c r="E20" s="263" t="s">
        <v>44</v>
      </c>
      <c r="F20" s="22">
        <f>1400/N11</f>
        <v>1.436814049578295E-3</v>
      </c>
      <c r="G20" s="11">
        <f>G63</f>
        <v>2002.2475043344707</v>
      </c>
      <c r="H20" s="164">
        <v>2.9489999999999998</v>
      </c>
      <c r="I20" s="11">
        <f>F20*G20</f>
        <v>2.8768573449608459</v>
      </c>
      <c r="J20" s="9" t="s">
        <v>38</v>
      </c>
      <c r="K20" s="11">
        <f>I20*N11/1000</f>
        <v>2803.146506068259</v>
      </c>
      <c r="L20" s="9" t="s">
        <v>38</v>
      </c>
      <c r="M20" s="9" t="s">
        <v>38</v>
      </c>
    </row>
    <row r="21" spans="1:16" ht="25.5" customHeight="1" x14ac:dyDescent="0.35">
      <c r="A21" s="291"/>
      <c r="B21" s="291"/>
      <c r="C21" s="291"/>
      <c r="D21" s="3" t="s">
        <v>15</v>
      </c>
      <c r="E21" s="263" t="s">
        <v>45</v>
      </c>
      <c r="F21" s="164"/>
      <c r="G21" s="11"/>
      <c r="H21" s="164">
        <v>2.9489999999999998</v>
      </c>
      <c r="I21" s="11"/>
      <c r="J21" s="9" t="s">
        <v>38</v>
      </c>
      <c r="K21" s="11"/>
      <c r="L21" s="9" t="s">
        <v>38</v>
      </c>
      <c r="M21" s="9" t="s">
        <v>38</v>
      </c>
    </row>
    <row r="22" spans="1:16" ht="37.5" customHeight="1" x14ac:dyDescent="0.35">
      <c r="A22" s="286" t="s">
        <v>46</v>
      </c>
      <c r="B22" s="286"/>
      <c r="C22" s="286"/>
      <c r="D22" s="3" t="s">
        <v>16</v>
      </c>
      <c r="E22" s="4" t="s">
        <v>47</v>
      </c>
      <c r="F22" s="22">
        <v>1.46E-2</v>
      </c>
      <c r="G22" s="11">
        <f>86382*H22</f>
        <v>254740.51799999998</v>
      </c>
      <c r="H22" s="164">
        <v>2.9489999999999998</v>
      </c>
      <c r="I22" s="11">
        <f>G22*F22</f>
        <v>3719.2115627999997</v>
      </c>
      <c r="J22" s="9" t="s">
        <v>38</v>
      </c>
      <c r="K22" s="11">
        <f>I22*N11/1000</f>
        <v>3623917.9241379378</v>
      </c>
      <c r="L22" s="9" t="s">
        <v>38</v>
      </c>
      <c r="M22" s="9" t="s">
        <v>38</v>
      </c>
    </row>
    <row r="23" spans="1:16" ht="35.25" customHeight="1" x14ac:dyDescent="0.35">
      <c r="A23" s="291" t="s">
        <v>42</v>
      </c>
      <c r="B23" s="291"/>
      <c r="C23" s="291"/>
      <c r="D23" s="3" t="s">
        <v>18</v>
      </c>
      <c r="E23" s="263" t="s">
        <v>47</v>
      </c>
      <c r="F23" s="25">
        <f>180/N11</f>
        <v>1.8473323494578079E-4</v>
      </c>
      <c r="G23" s="11">
        <f>G75</f>
        <v>108547.68573162172</v>
      </c>
      <c r="H23" s="164">
        <v>2.9489999999999998</v>
      </c>
      <c r="I23" s="11">
        <f>G23*F23</f>
        <v>20.052365131080453</v>
      </c>
      <c r="J23" s="9" t="s">
        <v>38</v>
      </c>
      <c r="K23" s="11">
        <f>I23*N11/1000</f>
        <v>19538.58343169191</v>
      </c>
      <c r="L23" s="9" t="s">
        <v>38</v>
      </c>
      <c r="M23" s="9" t="s">
        <v>38</v>
      </c>
    </row>
    <row r="24" spans="1:16" ht="15" customHeight="1" x14ac:dyDescent="0.35">
      <c r="A24" s="286" t="s">
        <v>48</v>
      </c>
      <c r="B24" s="286"/>
      <c r="C24" s="286"/>
      <c r="D24" s="3" t="s">
        <v>19</v>
      </c>
      <c r="E24" s="4" t="s">
        <v>49</v>
      </c>
      <c r="F24" s="164">
        <v>4.0000000000000001E-3</v>
      </c>
      <c r="G24" s="11">
        <f>14930.5*H24</f>
        <v>44030.044499999996</v>
      </c>
      <c r="H24" s="164">
        <v>2.9489999999999998</v>
      </c>
      <c r="I24" s="11">
        <f>G24*F24</f>
        <v>176.12017799999998</v>
      </c>
      <c r="J24" s="9" t="s">
        <v>38</v>
      </c>
      <c r="K24" s="11">
        <f>I24*N11/1000</f>
        <v>171607.62679928399</v>
      </c>
      <c r="L24" s="9" t="s">
        <v>38</v>
      </c>
      <c r="M24" s="9" t="s">
        <v>38</v>
      </c>
    </row>
    <row r="25" spans="1:16" ht="18" customHeight="1" x14ac:dyDescent="0.35">
      <c r="A25" s="291" t="s">
        <v>42</v>
      </c>
      <c r="B25" s="291"/>
      <c r="C25" s="291"/>
      <c r="D25" s="3" t="s">
        <v>50</v>
      </c>
      <c r="E25" s="263" t="s">
        <v>49</v>
      </c>
      <c r="F25" s="164"/>
      <c r="G25" s="11"/>
      <c r="H25" s="164">
        <v>2.9489999999999998</v>
      </c>
      <c r="I25" s="11"/>
      <c r="J25" s="9" t="s">
        <v>38</v>
      </c>
      <c r="K25" s="11"/>
      <c r="L25" s="9" t="s">
        <v>38</v>
      </c>
      <c r="M25" s="9" t="s">
        <v>38</v>
      </c>
    </row>
    <row r="26" spans="1:16" ht="14.65" customHeight="1" x14ac:dyDescent="0.35">
      <c r="A26" s="286" t="s">
        <v>167</v>
      </c>
      <c r="B26" s="286"/>
      <c r="C26" s="286"/>
      <c r="D26" s="3" t="s">
        <v>51</v>
      </c>
      <c r="E26" s="4" t="s">
        <v>52</v>
      </c>
      <c r="F26" s="26"/>
      <c r="G26" s="11"/>
      <c r="H26" s="164">
        <v>2.9489999999999998</v>
      </c>
      <c r="I26" s="11"/>
      <c r="J26" s="9" t="s">
        <v>38</v>
      </c>
      <c r="K26" s="11"/>
      <c r="L26" s="9" t="s">
        <v>38</v>
      </c>
      <c r="M26" s="9" t="s">
        <v>38</v>
      </c>
    </row>
    <row r="27" spans="1:16" ht="14.65" customHeight="1" x14ac:dyDescent="0.35">
      <c r="A27" s="286" t="s">
        <v>53</v>
      </c>
      <c r="B27" s="286"/>
      <c r="C27" s="286"/>
      <c r="D27" s="3" t="s">
        <v>54</v>
      </c>
      <c r="E27" s="3" t="s">
        <v>55</v>
      </c>
      <c r="F27" s="7"/>
      <c r="G27" s="1"/>
      <c r="H27" s="164">
        <v>2.9489999999999998</v>
      </c>
      <c r="I27" s="11">
        <f>K27/N11*1000</f>
        <v>2621.8578583180465</v>
      </c>
      <c r="J27" s="9" t="s">
        <v>38</v>
      </c>
      <c r="K27" s="11">
        <v>2554680.6162722213</v>
      </c>
      <c r="L27" s="9" t="s">
        <v>38</v>
      </c>
      <c r="M27" s="9" t="s">
        <v>38</v>
      </c>
      <c r="N27" s="24"/>
      <c r="O27" s="24"/>
      <c r="P27" s="24"/>
    </row>
    <row r="28" spans="1:16" ht="38.25" customHeight="1" x14ac:dyDescent="0.35">
      <c r="A28" s="286" t="s">
        <v>56</v>
      </c>
      <c r="B28" s="286"/>
      <c r="C28" s="286"/>
      <c r="D28" s="3" t="s">
        <v>57</v>
      </c>
      <c r="E28" s="4" t="s">
        <v>47</v>
      </c>
      <c r="F28" s="22">
        <f>1366/N11</f>
        <v>1.4019199940885365E-3</v>
      </c>
      <c r="G28" s="11">
        <f>I28/F28</f>
        <v>159708.05270863837</v>
      </c>
      <c r="H28" s="164">
        <v>2.9489999999999998</v>
      </c>
      <c r="I28" s="11">
        <f>K28/N11*1000</f>
        <v>223.89791230918598</v>
      </c>
      <c r="J28" s="9" t="s">
        <v>38</v>
      </c>
      <c r="K28" s="11">
        <f>прил7!K28</f>
        <v>218161.2</v>
      </c>
      <c r="L28" s="9" t="s">
        <v>38</v>
      </c>
      <c r="M28" s="9" t="s">
        <v>38</v>
      </c>
    </row>
    <row r="29" spans="1:16" ht="45.65" customHeight="1" x14ac:dyDescent="0.35">
      <c r="A29" s="293" t="s">
        <v>58</v>
      </c>
      <c r="B29" s="293"/>
      <c r="C29" s="293"/>
      <c r="D29" s="20" t="s">
        <v>59</v>
      </c>
      <c r="E29" s="20"/>
      <c r="F29" s="9"/>
      <c r="G29" s="27"/>
      <c r="H29" s="164">
        <v>2.9489999999999998</v>
      </c>
      <c r="I29" s="11">
        <f>K29/N11*1000</f>
        <v>15.394436245481733</v>
      </c>
      <c r="J29" s="9" t="s">
        <v>38</v>
      </c>
      <c r="K29" s="21">
        <f>SUM(K30:K33)</f>
        <v>15000</v>
      </c>
      <c r="L29" s="9" t="s">
        <v>38</v>
      </c>
      <c r="M29" s="28">
        <f>K29/(K108+L108)*100</f>
        <v>2.9775996228488154E-2</v>
      </c>
    </row>
    <row r="30" spans="1:16" ht="15" customHeight="1" x14ac:dyDescent="0.35">
      <c r="A30" s="286" t="s">
        <v>60</v>
      </c>
      <c r="B30" s="286"/>
      <c r="C30" s="286"/>
      <c r="D30" s="3" t="s">
        <v>61</v>
      </c>
      <c r="E30" s="3" t="s">
        <v>55</v>
      </c>
      <c r="F30" s="7"/>
      <c r="G30" s="1"/>
      <c r="H30" s="164">
        <v>2.9489999999999998</v>
      </c>
      <c r="I30" s="11">
        <f>K30/N11*1000</f>
        <v>0</v>
      </c>
      <c r="J30" s="9" t="s">
        <v>38</v>
      </c>
      <c r="K30" s="11">
        <v>0</v>
      </c>
      <c r="L30" s="9" t="s">
        <v>38</v>
      </c>
      <c r="M30" s="9" t="s">
        <v>38</v>
      </c>
    </row>
    <row r="31" spans="1:16" ht="15" customHeight="1" x14ac:dyDescent="0.35">
      <c r="A31" s="286" t="s">
        <v>62</v>
      </c>
      <c r="B31" s="286"/>
      <c r="C31" s="286"/>
      <c r="D31" s="3" t="s">
        <v>63</v>
      </c>
      <c r="E31" s="3" t="s">
        <v>55</v>
      </c>
      <c r="F31" s="7"/>
      <c r="G31" s="1"/>
      <c r="H31" s="164">
        <v>2.9489999999999998</v>
      </c>
      <c r="I31" s="11">
        <f>K31/N11*1000</f>
        <v>0</v>
      </c>
      <c r="J31" s="9" t="s">
        <v>38</v>
      </c>
      <c r="K31" s="11"/>
      <c r="L31" s="9" t="s">
        <v>38</v>
      </c>
      <c r="M31" s="9" t="s">
        <v>38</v>
      </c>
    </row>
    <row r="32" spans="1:16" ht="19.899999999999999" customHeight="1" x14ac:dyDescent="0.35">
      <c r="A32" s="286" t="s">
        <v>64</v>
      </c>
      <c r="B32" s="286"/>
      <c r="C32" s="286"/>
      <c r="D32" s="3" t="s">
        <v>65</v>
      </c>
      <c r="E32" s="4" t="s">
        <v>55</v>
      </c>
      <c r="F32" s="7"/>
      <c r="G32" s="1"/>
      <c r="H32" s="164">
        <v>2.9489999999999998</v>
      </c>
      <c r="I32" s="11">
        <f>K32/957400*1000</f>
        <v>0</v>
      </c>
      <c r="J32" s="9" t="s">
        <v>38</v>
      </c>
      <c r="K32" s="11">
        <v>0</v>
      </c>
      <c r="L32" s="9" t="s">
        <v>38</v>
      </c>
      <c r="M32" s="9" t="s">
        <v>38</v>
      </c>
    </row>
    <row r="33" spans="1:21" ht="17.5" customHeight="1" x14ac:dyDescent="0.35">
      <c r="A33" s="286" t="s">
        <v>66</v>
      </c>
      <c r="B33" s="286"/>
      <c r="C33" s="286"/>
      <c r="D33" s="3" t="s">
        <v>67</v>
      </c>
      <c r="E33" s="4" t="s">
        <v>55</v>
      </c>
      <c r="F33" s="7"/>
      <c r="G33" s="1"/>
      <c r="H33" s="164">
        <v>2.9489999999999998</v>
      </c>
      <c r="I33" s="11">
        <f>K33/N11*1000</f>
        <v>15.394436245481733</v>
      </c>
      <c r="J33" s="9" t="s">
        <v>38</v>
      </c>
      <c r="K33" s="11">
        <v>15000</v>
      </c>
      <c r="L33" s="9" t="s">
        <v>38</v>
      </c>
      <c r="M33" s="9" t="s">
        <v>38</v>
      </c>
    </row>
    <row r="34" spans="1:21" ht="27.75" customHeight="1" x14ac:dyDescent="0.35">
      <c r="A34" s="292" t="s">
        <v>68</v>
      </c>
      <c r="B34" s="292"/>
      <c r="C34" s="292"/>
      <c r="D34" s="20" t="s">
        <v>69</v>
      </c>
      <c r="E34" s="20"/>
      <c r="F34" s="9"/>
      <c r="G34" s="27"/>
      <c r="H34" s="29">
        <v>2.9489999999999998</v>
      </c>
      <c r="I34" s="9" t="s">
        <v>38</v>
      </c>
      <c r="J34" s="21">
        <f>L34/966478*1000</f>
        <v>42855.365088496583</v>
      </c>
      <c r="K34" s="9" t="s">
        <v>38</v>
      </c>
      <c r="L34" s="21">
        <f>L59+L61+L82</f>
        <v>41418767.539999999</v>
      </c>
      <c r="M34" s="21"/>
      <c r="N34" s="42"/>
      <c r="O34" s="42"/>
    </row>
    <row r="35" spans="1:21" ht="15" customHeight="1" x14ac:dyDescent="0.35">
      <c r="A35" s="292" t="s">
        <v>213</v>
      </c>
      <c r="B35" s="292"/>
      <c r="C35" s="292"/>
      <c r="D35" s="20" t="s">
        <v>70</v>
      </c>
      <c r="E35" s="20" t="s">
        <v>41</v>
      </c>
      <c r="F35" s="32">
        <f>F62+F83</f>
        <v>0.28999999999999998</v>
      </c>
      <c r="G35" s="21">
        <f>G62+G83</f>
        <v>7864.6881000000003</v>
      </c>
      <c r="H35" s="29">
        <v>2.9489999999999998</v>
      </c>
      <c r="I35" s="9" t="s">
        <v>38</v>
      </c>
      <c r="J35" s="21">
        <f>L35/966478*1000</f>
        <v>2280.7595206512715</v>
      </c>
      <c r="K35" s="9" t="s">
        <v>38</v>
      </c>
      <c r="L35" s="233">
        <f>L62+L83</f>
        <v>2204303.9</v>
      </c>
      <c r="M35" s="9" t="s">
        <v>38</v>
      </c>
      <c r="N35" s="42"/>
      <c r="O35" s="42"/>
    </row>
    <row r="36" spans="1:21" ht="39" x14ac:dyDescent="0.35">
      <c r="A36" s="299" t="s">
        <v>116</v>
      </c>
      <c r="B36" s="296" t="s">
        <v>71</v>
      </c>
      <c r="C36" s="264" t="s">
        <v>168</v>
      </c>
      <c r="D36" s="20" t="s">
        <v>72</v>
      </c>
      <c r="E36" s="35" t="s">
        <v>73</v>
      </c>
      <c r="F36" s="32">
        <f>F63+F84</f>
        <v>2.9390000000000001</v>
      </c>
      <c r="G36" s="33">
        <f t="shared" ref="G36:G44" si="0">J36/F36</f>
        <v>2003.9161763275686</v>
      </c>
      <c r="H36" s="29">
        <v>2.9489999999999998</v>
      </c>
      <c r="I36" s="9" t="s">
        <v>38</v>
      </c>
      <c r="J36" s="21">
        <f>L36/966478*1000</f>
        <v>5889.5096422267243</v>
      </c>
      <c r="K36" s="9" t="s">
        <v>38</v>
      </c>
      <c r="L36" s="21">
        <f>L63+L84</f>
        <v>5692081.5</v>
      </c>
      <c r="M36" s="9" t="s">
        <v>38</v>
      </c>
      <c r="O36" s="42"/>
    </row>
    <row r="37" spans="1:21" ht="39" x14ac:dyDescent="0.35">
      <c r="A37" s="300"/>
      <c r="B37" s="297"/>
      <c r="C37" s="261" t="s">
        <v>169</v>
      </c>
      <c r="D37" s="3" t="s">
        <v>128</v>
      </c>
      <c r="E37" s="227" t="s">
        <v>248</v>
      </c>
      <c r="F37" s="36">
        <f>F64+F85</f>
        <v>0.27400000000000002</v>
      </c>
      <c r="G37" s="37">
        <f>G64+G85</f>
        <v>5734.625399999999</v>
      </c>
      <c r="H37" s="164">
        <v>2.9489999999999998</v>
      </c>
      <c r="I37" s="7" t="s">
        <v>38</v>
      </c>
      <c r="J37" s="37">
        <f>J64+J85</f>
        <v>1571.2873595999999</v>
      </c>
      <c r="K37" s="7" t="s">
        <v>38</v>
      </c>
      <c r="L37" s="37">
        <f>L64+L85</f>
        <v>1518614.7</v>
      </c>
      <c r="M37" s="7" t="s">
        <v>38</v>
      </c>
      <c r="O37" s="42"/>
    </row>
    <row r="38" spans="1:21" ht="32.5" customHeight="1" x14ac:dyDescent="0.35">
      <c r="A38" s="300"/>
      <c r="B38" s="297"/>
      <c r="C38" s="261" t="s">
        <v>267</v>
      </c>
      <c r="D38" s="3" t="s">
        <v>171</v>
      </c>
      <c r="E38" s="227" t="s">
        <v>249</v>
      </c>
      <c r="F38" s="36">
        <f>F65+F86</f>
        <v>0.26100000000000001</v>
      </c>
      <c r="G38" s="36">
        <f>G65+G86</f>
        <v>6344.4786000000004</v>
      </c>
      <c r="H38" s="164">
        <v>2.9489999999999998</v>
      </c>
      <c r="I38" s="7" t="s">
        <v>38</v>
      </c>
      <c r="J38" s="37">
        <f>J65+J86</f>
        <v>1655.9089146000001</v>
      </c>
      <c r="K38" s="7" t="s">
        <v>38</v>
      </c>
      <c r="L38" s="37">
        <f>L65+L86</f>
        <v>1600399.5</v>
      </c>
      <c r="M38" s="7" t="s">
        <v>38</v>
      </c>
      <c r="O38" s="42"/>
    </row>
    <row r="39" spans="1:21" ht="19.899999999999999" customHeight="1" x14ac:dyDescent="0.35">
      <c r="A39" s="300"/>
      <c r="B39" s="297"/>
      <c r="C39" s="261" t="s">
        <v>265</v>
      </c>
      <c r="D39" s="3" t="s">
        <v>247</v>
      </c>
      <c r="E39" s="227" t="s">
        <v>222</v>
      </c>
      <c r="F39" s="36">
        <f>F66+F87</f>
        <v>2.395</v>
      </c>
      <c r="G39" s="37">
        <f>G66+G87</f>
        <v>1102.0412999999999</v>
      </c>
      <c r="H39" s="164">
        <v>2.9489999999999998</v>
      </c>
      <c r="I39" s="7" t="s">
        <v>38</v>
      </c>
      <c r="J39" s="37">
        <f>J66+J87</f>
        <v>2639.3889134999995</v>
      </c>
      <c r="K39" s="7" t="s">
        <v>38</v>
      </c>
      <c r="L39" s="37">
        <f>L66+L87</f>
        <v>2550911.2999999998</v>
      </c>
      <c r="M39" s="7" t="s">
        <v>38</v>
      </c>
      <c r="O39" s="42"/>
    </row>
    <row r="40" spans="1:21" ht="39" x14ac:dyDescent="0.35">
      <c r="A40" s="300"/>
      <c r="B40" s="297"/>
      <c r="C40" s="261" t="s">
        <v>256</v>
      </c>
      <c r="D40" s="3" t="s">
        <v>250</v>
      </c>
      <c r="E40" s="227" t="s">
        <v>172</v>
      </c>
      <c r="F40" s="36">
        <f t="shared" ref="F40:G42" si="1">F88</f>
        <v>8.9999999999999993E-3</v>
      </c>
      <c r="G40" s="36" t="str">
        <f t="shared" si="1"/>
        <v>Х</v>
      </c>
      <c r="H40" s="164">
        <v>2.9489999999999998</v>
      </c>
      <c r="I40" s="7" t="s">
        <v>38</v>
      </c>
      <c r="J40" s="37" t="s">
        <v>38</v>
      </c>
      <c r="K40" s="7" t="s">
        <v>38</v>
      </c>
      <c r="L40" s="37" t="str">
        <f>L88</f>
        <v>Х</v>
      </c>
      <c r="M40" s="7" t="s">
        <v>38</v>
      </c>
      <c r="O40" s="42"/>
    </row>
    <row r="41" spans="1:21" ht="78" x14ac:dyDescent="0.35">
      <c r="A41" s="300"/>
      <c r="B41" s="297"/>
      <c r="C41" s="261" t="s">
        <v>257</v>
      </c>
      <c r="D41" s="3" t="s">
        <v>251</v>
      </c>
      <c r="E41" s="227" t="s">
        <v>219</v>
      </c>
      <c r="F41" s="36">
        <f t="shared" si="1"/>
        <v>6.9999999999999993E-3</v>
      </c>
      <c r="G41" s="37">
        <f t="shared" si="1"/>
        <v>1337.67</v>
      </c>
      <c r="H41" s="164">
        <v>2.9489999999999998</v>
      </c>
      <c r="I41" s="7" t="s">
        <v>38</v>
      </c>
      <c r="J41" s="37">
        <f>J89</f>
        <v>9.3636900000000001</v>
      </c>
      <c r="K41" s="7" t="s">
        <v>38</v>
      </c>
      <c r="L41" s="37">
        <f>L89</f>
        <v>9123.7999999999993</v>
      </c>
      <c r="M41" s="7" t="s">
        <v>38</v>
      </c>
      <c r="O41" s="42"/>
    </row>
    <row r="42" spans="1:21" ht="52" x14ac:dyDescent="0.35">
      <c r="A42" s="300"/>
      <c r="B42" s="297"/>
      <c r="C42" s="261" t="s">
        <v>258</v>
      </c>
      <c r="D42" s="3" t="s">
        <v>252</v>
      </c>
      <c r="E42" s="227" t="s">
        <v>173</v>
      </c>
      <c r="F42" s="36">
        <f t="shared" si="1"/>
        <v>2E-3</v>
      </c>
      <c r="G42" s="37">
        <f t="shared" si="1"/>
        <v>6687.45</v>
      </c>
      <c r="H42" s="164">
        <v>2.9489999999999998</v>
      </c>
      <c r="I42" s="7" t="s">
        <v>38</v>
      </c>
      <c r="J42" s="37">
        <f>J90</f>
        <v>13.3749</v>
      </c>
      <c r="K42" s="7" t="s">
        <v>38</v>
      </c>
      <c r="L42" s="37">
        <f>L90</f>
        <v>13032.2</v>
      </c>
      <c r="M42" s="7" t="s">
        <v>38</v>
      </c>
      <c r="O42" s="42"/>
    </row>
    <row r="43" spans="1:21" ht="25.5" customHeight="1" x14ac:dyDescent="0.35">
      <c r="A43" s="300"/>
      <c r="B43" s="297"/>
      <c r="C43" s="264" t="s">
        <v>174</v>
      </c>
      <c r="D43" s="20" t="s">
        <v>74</v>
      </c>
      <c r="E43" s="35" t="s">
        <v>75</v>
      </c>
      <c r="F43" s="32">
        <f>F67+F91</f>
        <v>0.54</v>
      </c>
      <c r="G43" s="33">
        <f t="shared" si="0"/>
        <v>2054.8631215609666</v>
      </c>
      <c r="H43" s="29">
        <v>2.9489999999999998</v>
      </c>
      <c r="I43" s="9" t="s">
        <v>38</v>
      </c>
      <c r="J43" s="21">
        <f>L43/966478*1000</f>
        <v>1109.6260856429221</v>
      </c>
      <c r="K43" s="9" t="s">
        <v>38</v>
      </c>
      <c r="L43" s="21">
        <f>L67+L91</f>
        <v>1072429.2</v>
      </c>
      <c r="M43" s="9" t="s">
        <v>38</v>
      </c>
      <c r="O43" s="42"/>
    </row>
    <row r="44" spans="1:21" x14ac:dyDescent="0.35">
      <c r="A44" s="300"/>
      <c r="B44" s="297"/>
      <c r="C44" s="264" t="s">
        <v>175</v>
      </c>
      <c r="D44" s="20" t="s">
        <v>76</v>
      </c>
      <c r="E44" s="375" t="s">
        <v>45</v>
      </c>
      <c r="F44" s="376">
        <f>F68+F92</f>
        <v>1.77</v>
      </c>
      <c r="G44" s="377">
        <f t="shared" si="0"/>
        <v>4373.3670030257108</v>
      </c>
      <c r="H44" s="378">
        <v>2.9489999999999998</v>
      </c>
      <c r="I44" s="379" t="s">
        <v>38</v>
      </c>
      <c r="J44" s="380">
        <f>L44/966478*1000</f>
        <v>7740.8595953555077</v>
      </c>
      <c r="K44" s="379" t="s">
        <v>38</v>
      </c>
      <c r="L44" s="380">
        <f>L68+L92</f>
        <v>7481370.5</v>
      </c>
      <c r="M44" s="379" t="s">
        <v>38</v>
      </c>
      <c r="O44" s="42"/>
    </row>
    <row r="45" spans="1:21" x14ac:dyDescent="0.35">
      <c r="A45" s="300"/>
      <c r="B45" s="297"/>
      <c r="C45" s="3" t="s">
        <v>268</v>
      </c>
      <c r="D45" s="3" t="s">
        <v>236</v>
      </c>
      <c r="E45" s="381" t="s">
        <v>231</v>
      </c>
      <c r="F45" s="382">
        <f>F69</f>
        <v>6.6699999999999995E-2</v>
      </c>
      <c r="G45" s="383">
        <f t="shared" ref="G45:L45" si="2">G69</f>
        <v>4304.0029239476062</v>
      </c>
      <c r="H45" s="384">
        <f t="shared" si="2"/>
        <v>2.9489999999999998</v>
      </c>
      <c r="I45" s="385" t="str">
        <f t="shared" si="2"/>
        <v>Х</v>
      </c>
      <c r="J45" s="383">
        <f t="shared" si="2"/>
        <v>287.07699502730532</v>
      </c>
      <c r="K45" s="379" t="str">
        <f t="shared" si="2"/>
        <v>Х</v>
      </c>
      <c r="L45" s="386">
        <f t="shared" si="2"/>
        <v>277453.59999999998</v>
      </c>
      <c r="M45" s="379" t="s">
        <v>38</v>
      </c>
      <c r="O45" s="42"/>
      <c r="S45" s="207"/>
      <c r="U45" s="70"/>
    </row>
    <row r="46" spans="1:21" x14ac:dyDescent="0.35">
      <c r="A46" s="300"/>
      <c r="B46" s="297"/>
      <c r="C46" s="3" t="s">
        <v>270</v>
      </c>
      <c r="D46" s="3" t="s">
        <v>237</v>
      </c>
      <c r="E46" s="381" t="s">
        <v>230</v>
      </c>
      <c r="F46" s="382">
        <f t="shared" ref="F46:L46" si="3">F70</f>
        <v>2.5000000000000001E-2</v>
      </c>
      <c r="G46" s="383">
        <f t="shared" si="3"/>
        <v>5611.9477111739734</v>
      </c>
      <c r="H46" s="384">
        <f t="shared" si="3"/>
        <v>2.9489999999999998</v>
      </c>
      <c r="I46" s="385" t="str">
        <f t="shared" si="3"/>
        <v>Х</v>
      </c>
      <c r="J46" s="383">
        <f t="shared" si="3"/>
        <v>140.29869277934935</v>
      </c>
      <c r="K46" s="379" t="str">
        <f t="shared" si="3"/>
        <v>Х</v>
      </c>
      <c r="L46" s="386">
        <f t="shared" si="3"/>
        <v>135595.6</v>
      </c>
      <c r="M46" s="379" t="s">
        <v>38</v>
      </c>
      <c r="O46" s="42"/>
      <c r="S46" s="207"/>
      <c r="U46" s="70"/>
    </row>
    <row r="47" spans="1:21" x14ac:dyDescent="0.35">
      <c r="A47" s="300"/>
      <c r="B47" s="297"/>
      <c r="C47" s="3" t="s">
        <v>271</v>
      </c>
      <c r="D47" s="3" t="s">
        <v>238</v>
      </c>
      <c r="E47" s="381" t="s">
        <v>232</v>
      </c>
      <c r="F47" s="382">
        <f t="shared" ref="F47:L47" si="4">F71</f>
        <v>0.1236</v>
      </c>
      <c r="G47" s="383">
        <f t="shared" si="4"/>
        <v>1719.2064824222039</v>
      </c>
      <c r="H47" s="384">
        <f t="shared" si="4"/>
        <v>2.9489999999999998</v>
      </c>
      <c r="I47" s="385" t="str">
        <f t="shared" si="4"/>
        <v>Х</v>
      </c>
      <c r="J47" s="383">
        <f t="shared" si="4"/>
        <v>212.49392122738439</v>
      </c>
      <c r="K47" s="379" t="str">
        <f t="shared" si="4"/>
        <v>Х</v>
      </c>
      <c r="L47" s="386">
        <f t="shared" si="4"/>
        <v>205370.7</v>
      </c>
      <c r="M47" s="379" t="s">
        <v>38</v>
      </c>
      <c r="O47" s="42"/>
      <c r="S47" s="207"/>
      <c r="U47" s="70"/>
    </row>
    <row r="48" spans="1:21" ht="26" x14ac:dyDescent="0.35">
      <c r="A48" s="300"/>
      <c r="B48" s="297"/>
      <c r="C48" s="3" t="s">
        <v>272</v>
      </c>
      <c r="D48" s="3" t="s">
        <v>239</v>
      </c>
      <c r="E48" s="381" t="s">
        <v>233</v>
      </c>
      <c r="F48" s="382">
        <f t="shared" ref="F48:L48" si="5">F72</f>
        <v>5.7500000000000002E-2</v>
      </c>
      <c r="G48" s="383">
        <f t="shared" si="5"/>
        <v>2154.2891234754034</v>
      </c>
      <c r="H48" s="384">
        <f t="shared" si="5"/>
        <v>2.9489999999999998</v>
      </c>
      <c r="I48" s="385" t="str">
        <f t="shared" si="5"/>
        <v>Х</v>
      </c>
      <c r="J48" s="383">
        <f t="shared" si="5"/>
        <v>123.8716245998357</v>
      </c>
      <c r="K48" s="379" t="str">
        <f t="shared" si="5"/>
        <v>Х</v>
      </c>
      <c r="L48" s="386">
        <f t="shared" si="5"/>
        <v>119719.2</v>
      </c>
      <c r="M48" s="379" t="s">
        <v>38</v>
      </c>
      <c r="O48" s="42"/>
      <c r="S48" s="207"/>
      <c r="U48" s="70"/>
    </row>
    <row r="49" spans="1:21" ht="39" x14ac:dyDescent="0.35">
      <c r="A49" s="300"/>
      <c r="B49" s="297"/>
      <c r="C49" s="3" t="s">
        <v>269</v>
      </c>
      <c r="D49" s="3" t="s">
        <v>240</v>
      </c>
      <c r="E49" s="381" t="s">
        <v>234</v>
      </c>
      <c r="F49" s="382">
        <f t="shared" ref="F49:L49" si="6">F73</f>
        <v>1.0351E-3</v>
      </c>
      <c r="G49" s="383">
        <f t="shared" si="6"/>
        <v>29914.492986616919</v>
      </c>
      <c r="H49" s="384">
        <f t="shared" si="6"/>
        <v>2.9489999999999998</v>
      </c>
      <c r="I49" s="385" t="str">
        <f t="shared" si="6"/>
        <v>Х</v>
      </c>
      <c r="J49" s="383">
        <f t="shared" si="6"/>
        <v>30.964491690447172</v>
      </c>
      <c r="K49" s="379" t="str">
        <f t="shared" si="6"/>
        <v>Х</v>
      </c>
      <c r="L49" s="386">
        <f t="shared" si="6"/>
        <v>29926.5</v>
      </c>
      <c r="M49" s="379" t="s">
        <v>38</v>
      </c>
      <c r="O49" s="42"/>
      <c r="S49" s="207"/>
      <c r="U49" s="70"/>
    </row>
    <row r="50" spans="1:21" ht="39" x14ac:dyDescent="0.35">
      <c r="A50" s="301"/>
      <c r="B50" s="298"/>
      <c r="C50" s="3" t="s">
        <v>266</v>
      </c>
      <c r="D50" s="3" t="s">
        <v>241</v>
      </c>
      <c r="E50" s="381" t="s">
        <v>235</v>
      </c>
      <c r="F50" s="382">
        <f t="shared" ref="F50:L50" si="7">F74</f>
        <v>5.0099999999999999E-2</v>
      </c>
      <c r="G50" s="383">
        <f t="shared" si="7"/>
        <v>1695.9699000000001</v>
      </c>
      <c r="H50" s="384">
        <f t="shared" si="7"/>
        <v>2.9489999999999998</v>
      </c>
      <c r="I50" s="385" t="str">
        <f t="shared" si="7"/>
        <v>Х</v>
      </c>
      <c r="J50" s="383">
        <f t="shared" si="7"/>
        <v>84.968091990000005</v>
      </c>
      <c r="K50" s="379" t="str">
        <f t="shared" si="7"/>
        <v>Х</v>
      </c>
      <c r="L50" s="386">
        <f t="shared" si="7"/>
        <v>82119.8</v>
      </c>
      <c r="M50" s="379" t="s">
        <v>38</v>
      </c>
      <c r="O50" s="42"/>
      <c r="S50" s="207"/>
      <c r="U50" s="70"/>
    </row>
    <row r="51" spans="1:21" ht="36.75" customHeight="1" x14ac:dyDescent="0.35">
      <c r="A51" s="292" t="s">
        <v>158</v>
      </c>
      <c r="B51" s="292"/>
      <c r="C51" s="292"/>
      <c r="D51" s="20" t="s">
        <v>77</v>
      </c>
      <c r="E51" s="38" t="s">
        <v>47</v>
      </c>
      <c r="F51" s="193">
        <f>F75+F99</f>
        <v>0.19</v>
      </c>
      <c r="G51" s="21">
        <f>G75+G99</f>
        <v>108547.68573162172</v>
      </c>
      <c r="H51" s="29">
        <v>2.9489999999999998</v>
      </c>
      <c r="I51" s="9" t="s">
        <v>38</v>
      </c>
      <c r="J51" s="21">
        <f>L51/966478*1000</f>
        <v>20624.060289008132</v>
      </c>
      <c r="K51" s="9" t="s">
        <v>38</v>
      </c>
      <c r="L51" s="21">
        <f>L75+L99</f>
        <v>19932700.539999999</v>
      </c>
      <c r="M51" s="58" t="s">
        <v>38</v>
      </c>
      <c r="O51" s="42"/>
    </row>
    <row r="52" spans="1:21" ht="25.5" customHeight="1" x14ac:dyDescent="0.35">
      <c r="A52" s="294" t="s">
        <v>132</v>
      </c>
      <c r="B52" s="294"/>
      <c r="C52" s="294"/>
      <c r="D52" s="4" t="s">
        <v>78</v>
      </c>
      <c r="E52" s="4" t="str">
        <f t="shared" ref="E52" si="8">E75</f>
        <v>случай госпитализации</v>
      </c>
      <c r="F52" s="231">
        <f>F76+F100</f>
        <v>1.2112100000000001E-2</v>
      </c>
      <c r="G52" s="39">
        <f t="shared" ref="G52:M52" si="9">G76</f>
        <v>356885.62079999998</v>
      </c>
      <c r="H52" s="60">
        <f t="shared" si="9"/>
        <v>2.9489999999999998</v>
      </c>
      <c r="I52" s="60" t="str">
        <f t="shared" si="9"/>
        <v>Х</v>
      </c>
      <c r="J52" s="62">
        <f t="shared" si="9"/>
        <v>4322.6343276916796</v>
      </c>
      <c r="K52" s="60" t="str">
        <f t="shared" si="9"/>
        <v>Х</v>
      </c>
      <c r="L52" s="235">
        <f t="shared" si="9"/>
        <v>4177731</v>
      </c>
      <c r="M52" s="61" t="str">
        <f t="shared" si="9"/>
        <v>Х</v>
      </c>
      <c r="O52" s="42"/>
    </row>
    <row r="53" spans="1:21" ht="26.25" customHeight="1" x14ac:dyDescent="0.35">
      <c r="A53" s="294" t="s">
        <v>139</v>
      </c>
      <c r="B53" s="294"/>
      <c r="C53" s="294"/>
      <c r="D53" s="3" t="s">
        <v>79</v>
      </c>
      <c r="E53" s="4" t="s">
        <v>47</v>
      </c>
      <c r="F53" s="36">
        <f>F77+F101</f>
        <v>5.0000000000000001E-3</v>
      </c>
      <c r="G53" s="37">
        <f>G77+G101</f>
        <v>117809.01120000001</v>
      </c>
      <c r="H53" s="164">
        <v>2.9489999999999998</v>
      </c>
      <c r="I53" s="7" t="s">
        <v>38</v>
      </c>
      <c r="J53" s="37">
        <f t="shared" ref="J53:J59" si="10">L53/966478*1000</f>
        <v>589.04506879618566</v>
      </c>
      <c r="K53" s="7" t="s">
        <v>38</v>
      </c>
      <c r="L53" s="37">
        <f>L77+L101</f>
        <v>569299.1</v>
      </c>
      <c r="M53" s="59" t="s">
        <v>38</v>
      </c>
      <c r="O53" s="42"/>
    </row>
    <row r="54" spans="1:21" ht="18" customHeight="1" x14ac:dyDescent="0.35">
      <c r="A54" s="295" t="s">
        <v>140</v>
      </c>
      <c r="B54" s="295"/>
      <c r="C54" s="295"/>
      <c r="D54" s="3" t="s">
        <v>138</v>
      </c>
      <c r="E54" s="4" t="s">
        <v>47</v>
      </c>
      <c r="F54" s="41">
        <f>F78</f>
        <v>3.2478752749674593E-3</v>
      </c>
      <c r="G54" s="37">
        <f t="shared" ref="G54:L54" si="11">G78</f>
        <v>243937.41318891366</v>
      </c>
      <c r="H54" s="36">
        <f t="shared" si="11"/>
        <v>2.9489999999999998</v>
      </c>
      <c r="I54" s="41" t="str">
        <f t="shared" si="11"/>
        <v>Х</v>
      </c>
      <c r="J54" s="37">
        <f t="shared" si="11"/>
        <v>792.27829293579373</v>
      </c>
      <c r="K54" s="41" t="str">
        <f t="shared" si="11"/>
        <v>Х</v>
      </c>
      <c r="L54" s="37">
        <f t="shared" si="11"/>
        <v>765719.54</v>
      </c>
      <c r="M54" s="59" t="s">
        <v>38</v>
      </c>
      <c r="O54" s="42"/>
    </row>
    <row r="55" spans="1:21" ht="26.25" customHeight="1" x14ac:dyDescent="0.35">
      <c r="A55" s="292" t="s">
        <v>176</v>
      </c>
      <c r="B55" s="292"/>
      <c r="C55" s="292"/>
      <c r="D55" s="20" t="s">
        <v>80</v>
      </c>
      <c r="E55" s="38" t="s">
        <v>49</v>
      </c>
      <c r="F55" s="193">
        <f t="shared" ref="F55:G57" si="12">F79+F103</f>
        <v>6.2990000000000004E-2</v>
      </c>
      <c r="G55" s="21">
        <f t="shared" si="12"/>
        <v>66042.265199999994</v>
      </c>
      <c r="H55" s="29">
        <v>2.9489999999999998</v>
      </c>
      <c r="I55" s="9" t="s">
        <v>38</v>
      </c>
      <c r="J55" s="21">
        <f t="shared" si="10"/>
        <v>4160.0022970000355</v>
      </c>
      <c r="K55" s="9" t="s">
        <v>38</v>
      </c>
      <c r="L55" s="21">
        <f>L79+L105</f>
        <v>4020550.7</v>
      </c>
      <c r="M55" s="58" t="s">
        <v>38</v>
      </c>
      <c r="O55" s="42"/>
    </row>
    <row r="56" spans="1:21" ht="25.5" customHeight="1" x14ac:dyDescent="0.35">
      <c r="A56" s="294" t="s">
        <v>141</v>
      </c>
      <c r="B56" s="294"/>
      <c r="C56" s="294"/>
      <c r="D56" s="4" t="s">
        <v>120</v>
      </c>
      <c r="E56" s="40" t="str">
        <f>E79</f>
        <v>случай лечения</v>
      </c>
      <c r="F56" s="237">
        <f t="shared" si="12"/>
        <v>8.3986000000000009E-3</v>
      </c>
      <c r="G56" s="39">
        <f t="shared" si="12"/>
        <v>265823.15490000002</v>
      </c>
      <c r="H56" s="267">
        <f>H80</f>
        <v>2.9489999999999998</v>
      </c>
      <c r="I56" s="62" t="str">
        <f>I80</f>
        <v>Х</v>
      </c>
      <c r="J56" s="37">
        <f t="shared" si="10"/>
        <v>2232.5423858587574</v>
      </c>
      <c r="K56" s="62" t="str">
        <f>K80</f>
        <v>Х</v>
      </c>
      <c r="L56" s="235">
        <f>L80+L104</f>
        <v>2157703.1</v>
      </c>
      <c r="M56" s="63" t="str">
        <f>M80</f>
        <v>Х</v>
      </c>
      <c r="O56" s="42"/>
    </row>
    <row r="57" spans="1:21" ht="25.5" customHeight="1" x14ac:dyDescent="0.35">
      <c r="A57" s="294" t="s">
        <v>142</v>
      </c>
      <c r="B57" s="294"/>
      <c r="C57" s="294"/>
      <c r="D57" s="4" t="s">
        <v>121</v>
      </c>
      <c r="E57" s="40" t="s">
        <v>177</v>
      </c>
      <c r="F57" s="68">
        <f t="shared" si="12"/>
        <v>5.1999999999999995E-4</v>
      </c>
      <c r="G57" s="39">
        <f t="shared" si="12"/>
        <v>379148.50649999996</v>
      </c>
      <c r="H57" s="267">
        <v>2.9489999999999998</v>
      </c>
      <c r="I57" s="62" t="s">
        <v>38</v>
      </c>
      <c r="J57" s="37">
        <f t="shared" si="10"/>
        <v>197.15720378529051</v>
      </c>
      <c r="K57" s="62" t="s">
        <v>38</v>
      </c>
      <c r="L57" s="235">
        <f>L81+L105</f>
        <v>190548.1</v>
      </c>
      <c r="M57" s="63" t="s">
        <v>38</v>
      </c>
      <c r="O57" s="42"/>
    </row>
    <row r="58" spans="1:21" ht="22.5" customHeight="1" x14ac:dyDescent="0.35">
      <c r="A58" s="292" t="s">
        <v>143</v>
      </c>
      <c r="B58" s="292"/>
      <c r="C58" s="292"/>
      <c r="D58" s="20" t="s">
        <v>81</v>
      </c>
      <c r="E58" s="38" t="s">
        <v>52</v>
      </c>
      <c r="F58" s="32">
        <f>F106</f>
        <v>9.1999999999999998E-2</v>
      </c>
      <c r="G58" s="21">
        <f>G106</f>
        <v>6818.09</v>
      </c>
      <c r="H58" s="29">
        <v>2.9489999999999998</v>
      </c>
      <c r="I58" s="9" t="s">
        <v>38</v>
      </c>
      <c r="J58" s="21">
        <f>J106</f>
        <v>627.26427999999999</v>
      </c>
      <c r="K58" s="9" t="s">
        <v>38</v>
      </c>
      <c r="L58" s="21">
        <f>L106</f>
        <v>611193.5</v>
      </c>
      <c r="M58" s="58" t="s">
        <v>38</v>
      </c>
      <c r="O58" s="42"/>
    </row>
    <row r="59" spans="1:21" ht="15" customHeight="1" x14ac:dyDescent="0.35">
      <c r="A59" s="292" t="s">
        <v>144</v>
      </c>
      <c r="B59" s="292"/>
      <c r="C59" s="292"/>
      <c r="D59" s="20" t="s">
        <v>82</v>
      </c>
      <c r="E59" s="20" t="s">
        <v>55</v>
      </c>
      <c r="F59" s="9"/>
      <c r="G59" s="27"/>
      <c r="H59" s="29">
        <v>2.9489999999999998</v>
      </c>
      <c r="I59" s="9" t="s">
        <v>38</v>
      </c>
      <c r="J59" s="21">
        <f t="shared" si="10"/>
        <v>418.15509509787086</v>
      </c>
      <c r="K59" s="9" t="s">
        <v>38</v>
      </c>
      <c r="L59" s="233">
        <v>404137.7</v>
      </c>
      <c r="M59" s="58" t="s">
        <v>38</v>
      </c>
      <c r="O59" s="42"/>
    </row>
    <row r="60" spans="1:21" ht="15" customHeight="1" x14ac:dyDescent="0.35">
      <c r="A60" s="292" t="s">
        <v>145</v>
      </c>
      <c r="B60" s="292"/>
      <c r="C60" s="292"/>
      <c r="D60" s="20" t="s">
        <v>84</v>
      </c>
      <c r="E60" s="20" t="s">
        <v>55</v>
      </c>
      <c r="F60" s="9"/>
      <c r="G60" s="27"/>
      <c r="H60" s="29"/>
      <c r="I60" s="9" t="s">
        <v>38</v>
      </c>
      <c r="J60" s="21"/>
      <c r="K60" s="9" t="s">
        <v>38</v>
      </c>
      <c r="L60" s="233">
        <v>0</v>
      </c>
      <c r="M60" s="58" t="s">
        <v>38</v>
      </c>
      <c r="O60" s="42"/>
    </row>
    <row r="61" spans="1:21" ht="48.75" customHeight="1" x14ac:dyDescent="0.35">
      <c r="A61" s="302" t="s">
        <v>83</v>
      </c>
      <c r="B61" s="302"/>
      <c r="C61" s="302"/>
      <c r="D61" s="3" t="s">
        <v>86</v>
      </c>
      <c r="E61" s="3"/>
      <c r="F61" s="7"/>
      <c r="G61" s="1"/>
      <c r="H61" s="164">
        <v>2.9489999999999998</v>
      </c>
      <c r="I61" s="9" t="s">
        <v>38</v>
      </c>
      <c r="J61" s="37">
        <f>L61/966478*1000</f>
        <v>41781.892955659612</v>
      </c>
      <c r="K61" s="64" t="s">
        <v>38</v>
      </c>
      <c r="L61" s="236">
        <f>прил6!G14-404137.7+прил6!M20</f>
        <v>40381280.339999996</v>
      </c>
      <c r="M61" s="65"/>
      <c r="O61" s="42"/>
    </row>
    <row r="62" spans="1:21" ht="27" customHeight="1" x14ac:dyDescent="0.35">
      <c r="A62" s="286" t="s">
        <v>85</v>
      </c>
      <c r="B62" s="286"/>
      <c r="C62" s="286"/>
      <c r="D62" s="3" t="s">
        <v>146</v>
      </c>
      <c r="E62" s="3" t="s">
        <v>41</v>
      </c>
      <c r="F62" s="5">
        <v>0.28999999999999998</v>
      </c>
      <c r="G62" s="1">
        <f>2666.9*H62</f>
        <v>7864.6881000000003</v>
      </c>
      <c r="H62" s="164">
        <v>2.9489999999999998</v>
      </c>
      <c r="I62" s="6" t="s">
        <v>38</v>
      </c>
      <c r="J62" s="1">
        <f t="shared" ref="J62:J81" si="13">G62*F62</f>
        <v>2280.7595489999999</v>
      </c>
      <c r="K62" s="9" t="s">
        <v>38</v>
      </c>
      <c r="L62" s="230">
        <f>ROUND(J62*966478/1000,1)</f>
        <v>2204303.9</v>
      </c>
      <c r="M62" s="9" t="s">
        <v>38</v>
      </c>
      <c r="O62" s="42"/>
    </row>
    <row r="63" spans="1:21" ht="38.25" customHeight="1" x14ac:dyDescent="0.35">
      <c r="A63" s="303" t="s">
        <v>87</v>
      </c>
      <c r="B63" s="304"/>
      <c r="C63" s="305"/>
      <c r="D63" s="3" t="s">
        <v>88</v>
      </c>
      <c r="E63" s="227" t="s">
        <v>73</v>
      </c>
      <c r="F63" s="192">
        <f>F64+F65+F66</f>
        <v>2.93</v>
      </c>
      <c r="G63" s="1">
        <f>J63/F63</f>
        <v>2002.2475043344707</v>
      </c>
      <c r="H63" s="164">
        <v>2.9489999999999998</v>
      </c>
      <c r="I63" s="8" t="s">
        <v>38</v>
      </c>
      <c r="J63" s="165">
        <f>J64+J65+J66</f>
        <v>5866.5851876999996</v>
      </c>
      <c r="K63" s="9" t="s">
        <v>38</v>
      </c>
      <c r="L63" s="230">
        <f>L64+L65+L66</f>
        <v>5669925.5</v>
      </c>
      <c r="M63" s="9" t="s">
        <v>38</v>
      </c>
      <c r="O63" s="42"/>
    </row>
    <row r="64" spans="1:21" ht="46.15" customHeight="1" x14ac:dyDescent="0.35">
      <c r="A64" s="306"/>
      <c r="B64" s="307"/>
      <c r="C64" s="308"/>
      <c r="D64" s="3" t="s">
        <v>125</v>
      </c>
      <c r="E64" s="227" t="s">
        <v>248</v>
      </c>
      <c r="F64" s="252">
        <v>0.27400000000000002</v>
      </c>
      <c r="G64" s="1">
        <f>1944.6*H64</f>
        <v>5734.625399999999</v>
      </c>
      <c r="H64" s="164">
        <v>2.9489999999999998</v>
      </c>
      <c r="I64" s="6" t="s">
        <v>38</v>
      </c>
      <c r="J64" s="1">
        <f t="shared" ref="J64" si="14">G64*F64</f>
        <v>1571.2873595999999</v>
      </c>
      <c r="K64" s="7" t="s">
        <v>38</v>
      </c>
      <c r="L64" s="230">
        <f t="shared" ref="L64:L81" si="15">ROUND(J64*966478/1000,1)</f>
        <v>1518614.7</v>
      </c>
      <c r="M64" s="7" t="s">
        <v>38</v>
      </c>
      <c r="O64" s="42"/>
    </row>
    <row r="65" spans="1:21" ht="31.9" customHeight="1" x14ac:dyDescent="0.35">
      <c r="A65" s="306"/>
      <c r="B65" s="307"/>
      <c r="C65" s="308"/>
      <c r="D65" s="3" t="s">
        <v>253</v>
      </c>
      <c r="E65" s="227" t="s">
        <v>249</v>
      </c>
      <c r="F65" s="252">
        <v>0.26100000000000001</v>
      </c>
      <c r="G65" s="1">
        <f>2151.4*H65</f>
        <v>6344.4786000000004</v>
      </c>
      <c r="H65" s="164">
        <v>2.9489999999999998</v>
      </c>
      <c r="I65" s="8" t="s">
        <v>38</v>
      </c>
      <c r="J65" s="1">
        <f>F65*G65</f>
        <v>1655.9089146000001</v>
      </c>
      <c r="K65" s="9" t="s">
        <v>38</v>
      </c>
      <c r="L65" s="230">
        <f t="shared" si="15"/>
        <v>1600399.5</v>
      </c>
      <c r="M65" s="9" t="s">
        <v>38</v>
      </c>
      <c r="O65" s="42"/>
    </row>
    <row r="66" spans="1:21" ht="19.149999999999999" customHeight="1" x14ac:dyDescent="0.35">
      <c r="A66" s="306"/>
      <c r="B66" s="307"/>
      <c r="C66" s="308"/>
      <c r="D66" s="3" t="s">
        <v>254</v>
      </c>
      <c r="E66" s="227" t="s">
        <v>222</v>
      </c>
      <c r="F66" s="192">
        <v>2.395</v>
      </c>
      <c r="G66" s="1">
        <f>373.7*H66</f>
        <v>1102.0412999999999</v>
      </c>
      <c r="H66" s="164">
        <v>2.9489999999999998</v>
      </c>
      <c r="I66" s="8"/>
      <c r="J66" s="1">
        <f>F66*G66</f>
        <v>2639.3889134999995</v>
      </c>
      <c r="K66" s="9"/>
      <c r="L66" s="230">
        <f t="shared" si="15"/>
        <v>2550911.2999999998</v>
      </c>
      <c r="M66" s="9"/>
      <c r="O66" s="42"/>
    </row>
    <row r="67" spans="1:21" ht="26" x14ac:dyDescent="0.35">
      <c r="A67" s="306"/>
      <c r="B67" s="307"/>
      <c r="C67" s="308"/>
      <c r="D67" s="3" t="s">
        <v>89</v>
      </c>
      <c r="E67" s="227" t="s">
        <v>75</v>
      </c>
      <c r="F67" s="252">
        <v>0.54</v>
      </c>
      <c r="G67" s="1">
        <f>696.8*H67</f>
        <v>2054.8631999999998</v>
      </c>
      <c r="H67" s="164">
        <v>2.9489999999999998</v>
      </c>
      <c r="I67" s="8" t="s">
        <v>38</v>
      </c>
      <c r="J67" s="1">
        <f t="shared" si="13"/>
        <v>1109.6261279999999</v>
      </c>
      <c r="K67" s="9" t="s">
        <v>38</v>
      </c>
      <c r="L67" s="230">
        <f t="shared" si="15"/>
        <v>1072429.2</v>
      </c>
      <c r="M67" s="9" t="s">
        <v>38</v>
      </c>
      <c r="O67" s="42"/>
    </row>
    <row r="68" spans="1:21" x14ac:dyDescent="0.35">
      <c r="A68" s="306"/>
      <c r="B68" s="307"/>
      <c r="C68" s="308"/>
      <c r="D68" s="3" t="s">
        <v>147</v>
      </c>
      <c r="E68" s="227" t="s">
        <v>45</v>
      </c>
      <c r="F68" s="252">
        <v>1.77</v>
      </c>
      <c r="G68" s="1">
        <f>1483*H68</f>
        <v>4373.3670000000002</v>
      </c>
      <c r="H68" s="164">
        <v>2.9489999999999998</v>
      </c>
      <c r="I68" s="8" t="s">
        <v>38</v>
      </c>
      <c r="J68" s="1">
        <f t="shared" si="13"/>
        <v>7740.85959</v>
      </c>
      <c r="K68" s="9" t="s">
        <v>38</v>
      </c>
      <c r="L68" s="230">
        <f t="shared" si="15"/>
        <v>7481370.5</v>
      </c>
      <c r="M68" s="9" t="s">
        <v>38</v>
      </c>
      <c r="O68" s="42"/>
      <c r="S68" s="207"/>
      <c r="U68" s="70"/>
    </row>
    <row r="69" spans="1:21" x14ac:dyDescent="0.35">
      <c r="A69" s="306"/>
      <c r="B69" s="307"/>
      <c r="C69" s="308"/>
      <c r="D69" s="3" t="s">
        <v>224</v>
      </c>
      <c r="E69" s="227" t="s">
        <v>231</v>
      </c>
      <c r="F69" s="252">
        <v>6.6699999999999995E-2</v>
      </c>
      <c r="G69" s="1">
        <f t="shared" ref="G69:G73" si="16">L69/(F69*966478)*1000</f>
        <v>4304.0029239476062</v>
      </c>
      <c r="H69" s="164">
        <v>2.9489999999999998</v>
      </c>
      <c r="I69" s="8" t="s">
        <v>38</v>
      </c>
      <c r="J69" s="1">
        <f t="shared" ref="J69:J73" si="17">L69/966.478</f>
        <v>287.07699502730532</v>
      </c>
      <c r="K69" s="9" t="s">
        <v>38</v>
      </c>
      <c r="L69" s="230">
        <v>277453.59999999998</v>
      </c>
      <c r="M69" s="9" t="s">
        <v>38</v>
      </c>
      <c r="O69" s="42"/>
      <c r="S69" s="207"/>
      <c r="U69" s="70"/>
    </row>
    <row r="70" spans="1:21" x14ac:dyDescent="0.35">
      <c r="A70" s="306"/>
      <c r="B70" s="307"/>
      <c r="C70" s="308"/>
      <c r="D70" s="3" t="s">
        <v>225</v>
      </c>
      <c r="E70" s="227" t="s">
        <v>230</v>
      </c>
      <c r="F70" s="252">
        <v>2.5000000000000001E-2</v>
      </c>
      <c r="G70" s="1">
        <f t="shared" si="16"/>
        <v>5611.9477111739734</v>
      </c>
      <c r="H70" s="164">
        <v>2.9489999999999998</v>
      </c>
      <c r="I70" s="8" t="s">
        <v>38</v>
      </c>
      <c r="J70" s="1">
        <f t="shared" si="17"/>
        <v>140.29869277934935</v>
      </c>
      <c r="K70" s="9" t="s">
        <v>38</v>
      </c>
      <c r="L70" s="230">
        <v>135595.6</v>
      </c>
      <c r="M70" s="9" t="s">
        <v>38</v>
      </c>
      <c r="O70" s="42"/>
      <c r="S70" s="207"/>
      <c r="U70" s="70"/>
    </row>
    <row r="71" spans="1:21" x14ac:dyDescent="0.35">
      <c r="A71" s="306"/>
      <c r="B71" s="307"/>
      <c r="C71" s="308"/>
      <c r="D71" s="3" t="s">
        <v>226</v>
      </c>
      <c r="E71" s="227" t="s">
        <v>232</v>
      </c>
      <c r="F71" s="252">
        <v>0.1236</v>
      </c>
      <c r="G71" s="1">
        <f t="shared" si="16"/>
        <v>1719.2064824222039</v>
      </c>
      <c r="H71" s="164">
        <v>2.9489999999999998</v>
      </c>
      <c r="I71" s="8" t="s">
        <v>38</v>
      </c>
      <c r="J71" s="1">
        <f t="shared" si="17"/>
        <v>212.49392122738439</v>
      </c>
      <c r="K71" s="9" t="s">
        <v>38</v>
      </c>
      <c r="L71" s="230">
        <v>205370.7</v>
      </c>
      <c r="M71" s="9" t="s">
        <v>38</v>
      </c>
      <c r="O71" s="42"/>
      <c r="S71" s="207"/>
      <c r="U71" s="70"/>
    </row>
    <row r="72" spans="1:21" ht="26" x14ac:dyDescent="0.35">
      <c r="A72" s="306"/>
      <c r="B72" s="307"/>
      <c r="C72" s="308"/>
      <c r="D72" s="3" t="s">
        <v>227</v>
      </c>
      <c r="E72" s="227" t="s">
        <v>233</v>
      </c>
      <c r="F72" s="252">
        <v>5.7500000000000002E-2</v>
      </c>
      <c r="G72" s="1">
        <f t="shared" si="16"/>
        <v>2154.2891234754034</v>
      </c>
      <c r="H72" s="164">
        <v>2.9489999999999998</v>
      </c>
      <c r="I72" s="8" t="s">
        <v>38</v>
      </c>
      <c r="J72" s="1">
        <f t="shared" si="17"/>
        <v>123.8716245998357</v>
      </c>
      <c r="K72" s="9" t="s">
        <v>38</v>
      </c>
      <c r="L72" s="230">
        <v>119719.2</v>
      </c>
      <c r="M72" s="9" t="s">
        <v>38</v>
      </c>
      <c r="O72" s="42"/>
      <c r="S72" s="207"/>
      <c r="U72" s="70"/>
    </row>
    <row r="73" spans="1:21" ht="39" x14ac:dyDescent="0.35">
      <c r="A73" s="306"/>
      <c r="B73" s="307"/>
      <c r="C73" s="308"/>
      <c r="D73" s="3" t="s">
        <v>228</v>
      </c>
      <c r="E73" s="227" t="s">
        <v>234</v>
      </c>
      <c r="F73" s="252">
        <v>1.0351E-3</v>
      </c>
      <c r="G73" s="1">
        <f t="shared" si="16"/>
        <v>29914.492986616919</v>
      </c>
      <c r="H73" s="164">
        <v>2.9489999999999998</v>
      </c>
      <c r="I73" s="8" t="s">
        <v>38</v>
      </c>
      <c r="J73" s="1">
        <f t="shared" si="17"/>
        <v>30.964491690447172</v>
      </c>
      <c r="K73" s="9" t="s">
        <v>38</v>
      </c>
      <c r="L73" s="230">
        <v>29926.5</v>
      </c>
      <c r="M73" s="9" t="s">
        <v>38</v>
      </c>
      <c r="O73" s="42"/>
      <c r="S73" s="207"/>
      <c r="U73" s="70"/>
    </row>
    <row r="74" spans="1:21" ht="39" x14ac:dyDescent="0.35">
      <c r="A74" s="309"/>
      <c r="B74" s="310"/>
      <c r="C74" s="311"/>
      <c r="D74" s="3" t="s">
        <v>229</v>
      </c>
      <c r="E74" s="227" t="s">
        <v>235</v>
      </c>
      <c r="F74" s="252">
        <v>5.0099999999999999E-2</v>
      </c>
      <c r="G74" s="1">
        <f>575.1*H74</f>
        <v>1695.9699000000001</v>
      </c>
      <c r="H74" s="164">
        <v>2.9489999999999998</v>
      </c>
      <c r="I74" s="8" t="s">
        <v>38</v>
      </c>
      <c r="J74" s="1">
        <f t="shared" ref="J74" si="18">G74*F74</f>
        <v>84.968091990000005</v>
      </c>
      <c r="K74" s="9" t="s">
        <v>38</v>
      </c>
      <c r="L74" s="230">
        <v>82119.8</v>
      </c>
      <c r="M74" s="9" t="s">
        <v>38</v>
      </c>
      <c r="O74" s="42"/>
      <c r="S74" s="207"/>
      <c r="U74" s="70"/>
    </row>
    <row r="75" spans="1:21" ht="31.15" customHeight="1" x14ac:dyDescent="0.35">
      <c r="A75" s="286" t="s">
        <v>157</v>
      </c>
      <c r="B75" s="286"/>
      <c r="C75" s="286"/>
      <c r="D75" s="3" t="s">
        <v>90</v>
      </c>
      <c r="E75" s="4" t="s">
        <v>47</v>
      </c>
      <c r="F75" s="45">
        <v>0.19</v>
      </c>
      <c r="G75" s="1">
        <f>L75/(F75*966478)*1000</f>
        <v>108547.68573162172</v>
      </c>
      <c r="H75" s="164">
        <v>2.9489999999999998</v>
      </c>
      <c r="I75" s="8" t="s">
        <v>38</v>
      </c>
      <c r="J75" s="1">
        <f>L75/966.478</f>
        <v>20624.060289008132</v>
      </c>
      <c r="K75" s="7" t="s">
        <v>38</v>
      </c>
      <c r="L75" s="230">
        <f>L61-L62-L63-L67-L68-L79</f>
        <v>19932700.539999999</v>
      </c>
      <c r="M75" s="9" t="s">
        <v>38</v>
      </c>
      <c r="N75" s="165"/>
      <c r="O75" s="42"/>
      <c r="P75" s="42"/>
    </row>
    <row r="76" spans="1:21" ht="19.899999999999999" customHeight="1" x14ac:dyDescent="0.35">
      <c r="A76" s="294" t="s">
        <v>122</v>
      </c>
      <c r="B76" s="294"/>
      <c r="C76" s="294"/>
      <c r="D76" s="3" t="s">
        <v>119</v>
      </c>
      <c r="E76" s="4" t="s">
        <v>47</v>
      </c>
      <c r="F76" s="43">
        <v>1.2112100000000001E-2</v>
      </c>
      <c r="G76" s="1">
        <f>121019.2*H76</f>
        <v>356885.62079999998</v>
      </c>
      <c r="H76" s="164">
        <v>2.9489999999999998</v>
      </c>
      <c r="I76" s="8" t="s">
        <v>38</v>
      </c>
      <c r="J76" s="1">
        <f t="shared" ref="J76" si="19">G76*F76</f>
        <v>4322.6343276916796</v>
      </c>
      <c r="K76" s="8" t="s">
        <v>38</v>
      </c>
      <c r="L76" s="230">
        <f t="shared" si="15"/>
        <v>4177731</v>
      </c>
      <c r="M76" s="9" t="s">
        <v>38</v>
      </c>
      <c r="O76" s="42"/>
    </row>
    <row r="77" spans="1:21" ht="20.5" customHeight="1" x14ac:dyDescent="0.35">
      <c r="A77" s="294" t="s">
        <v>124</v>
      </c>
      <c r="B77" s="294"/>
      <c r="C77" s="294"/>
      <c r="D77" s="3" t="s">
        <v>127</v>
      </c>
      <c r="E77" s="4" t="s">
        <v>47</v>
      </c>
      <c r="F77" s="5">
        <v>5.0000000000000001E-3</v>
      </c>
      <c r="G77" s="1">
        <f>39948.8*H77</f>
        <v>117809.01120000001</v>
      </c>
      <c r="H77" s="164">
        <v>2.9489999999999998</v>
      </c>
      <c r="I77" s="8" t="s">
        <v>38</v>
      </c>
      <c r="J77" s="1">
        <f>G77*F77</f>
        <v>589.04505600000005</v>
      </c>
      <c r="K77" s="8" t="s">
        <v>38</v>
      </c>
      <c r="L77" s="230">
        <f t="shared" si="15"/>
        <v>569299.1</v>
      </c>
      <c r="M77" s="9" t="s">
        <v>38</v>
      </c>
      <c r="N77" s="42"/>
      <c r="O77" s="42"/>
    </row>
    <row r="78" spans="1:21" ht="19.149999999999999" customHeight="1" x14ac:dyDescent="0.35">
      <c r="A78" s="295" t="s">
        <v>126</v>
      </c>
      <c r="B78" s="295"/>
      <c r="C78" s="295"/>
      <c r="D78" s="3" t="s">
        <v>178</v>
      </c>
      <c r="E78" s="4" t="s">
        <v>47</v>
      </c>
      <c r="F78" s="44">
        <f>прил8!F78</f>
        <v>3.2478752749674593E-3</v>
      </c>
      <c r="G78" s="230">
        <f>прил8!G78</f>
        <v>243937.41318891366</v>
      </c>
      <c r="H78" s="5">
        <f>прил8!H78</f>
        <v>2.9489999999999998</v>
      </c>
      <c r="I78" s="44" t="str">
        <f>прил8!I78</f>
        <v>Х</v>
      </c>
      <c r="J78" s="226">
        <f>прил8!J78</f>
        <v>792.27829293579373</v>
      </c>
      <c r="K78" s="44" t="str">
        <f>прил8!K78</f>
        <v>Х</v>
      </c>
      <c r="L78" s="230">
        <f>прил8!L78</f>
        <v>765719.54</v>
      </c>
      <c r="M78" s="9" t="s">
        <v>38</v>
      </c>
      <c r="O78" s="42"/>
    </row>
    <row r="79" spans="1:21" ht="15" customHeight="1" x14ac:dyDescent="0.35">
      <c r="A79" s="286" t="s">
        <v>179</v>
      </c>
      <c r="B79" s="286"/>
      <c r="C79" s="286"/>
      <c r="D79" s="3" t="s">
        <v>92</v>
      </c>
      <c r="E79" s="4" t="s">
        <v>49</v>
      </c>
      <c r="F79" s="43">
        <f>0.06299</f>
        <v>6.2990000000000004E-2</v>
      </c>
      <c r="G79" s="1">
        <f>22394.8*H79</f>
        <v>66042.265199999994</v>
      </c>
      <c r="H79" s="164">
        <v>2.9489999999999998</v>
      </c>
      <c r="I79" s="8" t="s">
        <v>38</v>
      </c>
      <c r="J79" s="1">
        <f t="shared" si="13"/>
        <v>4160.0022849480001</v>
      </c>
      <c r="K79" s="8" t="s">
        <v>38</v>
      </c>
      <c r="L79" s="230">
        <f t="shared" si="15"/>
        <v>4020550.7</v>
      </c>
      <c r="M79" s="9" t="s">
        <v>38</v>
      </c>
      <c r="O79" s="42"/>
    </row>
    <row r="80" spans="1:21" ht="15" customHeight="1" x14ac:dyDescent="0.35">
      <c r="A80" s="294" t="s">
        <v>122</v>
      </c>
      <c r="B80" s="294"/>
      <c r="C80" s="294"/>
      <c r="D80" s="3" t="s">
        <v>148</v>
      </c>
      <c r="E80" s="4" t="s">
        <v>49</v>
      </c>
      <c r="F80" s="43">
        <v>8.3986000000000009E-3</v>
      </c>
      <c r="G80" s="1">
        <f>90140.1*H80</f>
        <v>265823.15490000002</v>
      </c>
      <c r="H80" s="164">
        <v>2.9489999999999998</v>
      </c>
      <c r="I80" s="8" t="s">
        <v>38</v>
      </c>
      <c r="J80" s="1">
        <f t="shared" si="13"/>
        <v>2232.5423487431403</v>
      </c>
      <c r="K80" s="8" t="s">
        <v>38</v>
      </c>
      <c r="L80" s="230">
        <f t="shared" si="15"/>
        <v>2157703.1</v>
      </c>
      <c r="M80" s="9" t="s">
        <v>38</v>
      </c>
      <c r="O80" s="42"/>
    </row>
    <row r="81" spans="1:15" ht="15.75" customHeight="1" x14ac:dyDescent="0.35">
      <c r="A81" s="294" t="s">
        <v>123</v>
      </c>
      <c r="B81" s="294"/>
      <c r="C81" s="294"/>
      <c r="D81" s="3" t="s">
        <v>149</v>
      </c>
      <c r="E81" s="4" t="s">
        <v>180</v>
      </c>
      <c r="F81" s="43">
        <v>5.1999999999999995E-4</v>
      </c>
      <c r="G81" s="1">
        <f>128568.5*H81</f>
        <v>379148.50649999996</v>
      </c>
      <c r="H81" s="164">
        <v>2.9489999999999998</v>
      </c>
      <c r="I81" s="8" t="s">
        <v>38</v>
      </c>
      <c r="J81" s="1">
        <f t="shared" si="13"/>
        <v>197.15722337999995</v>
      </c>
      <c r="K81" s="8" t="s">
        <v>38</v>
      </c>
      <c r="L81" s="230">
        <f t="shared" si="15"/>
        <v>190548.1</v>
      </c>
      <c r="M81" s="9" t="s">
        <v>38</v>
      </c>
      <c r="O81" s="42"/>
    </row>
    <row r="82" spans="1:15" ht="37.15" customHeight="1" x14ac:dyDescent="0.35">
      <c r="A82" s="302" t="s">
        <v>91</v>
      </c>
      <c r="B82" s="302"/>
      <c r="C82" s="302"/>
      <c r="D82" s="3" t="s">
        <v>93</v>
      </c>
      <c r="E82" s="3"/>
      <c r="F82" s="9"/>
      <c r="G82" s="27"/>
      <c r="H82" s="29"/>
      <c r="I82" s="27"/>
      <c r="J82" s="33">
        <f>J106+J84</f>
        <v>650.00287000000003</v>
      </c>
      <c r="K82" s="27"/>
      <c r="L82" s="233">
        <f>L84+L106</f>
        <v>633349.5</v>
      </c>
      <c r="M82" s="21"/>
      <c r="O82" s="42"/>
    </row>
    <row r="83" spans="1:15" ht="15" customHeight="1" x14ac:dyDescent="0.35">
      <c r="A83" s="286" t="s">
        <v>85</v>
      </c>
      <c r="B83" s="286"/>
      <c r="C83" s="286"/>
      <c r="D83" s="3" t="s">
        <v>150</v>
      </c>
      <c r="E83" s="3" t="s">
        <v>41</v>
      </c>
      <c r="F83" s="5"/>
      <c r="G83" s="1"/>
      <c r="H83" s="164"/>
      <c r="I83" s="6" t="s">
        <v>38</v>
      </c>
      <c r="J83" s="1"/>
      <c r="K83" s="8" t="s">
        <v>38</v>
      </c>
      <c r="L83" s="230"/>
      <c r="M83" s="9" t="s">
        <v>38</v>
      </c>
      <c r="O83" s="42"/>
    </row>
    <row r="84" spans="1:15" ht="38.25" customHeight="1" x14ac:dyDescent="0.35">
      <c r="A84" s="303" t="s">
        <v>87</v>
      </c>
      <c r="B84" s="304"/>
      <c r="C84" s="305"/>
      <c r="D84" s="3" t="s">
        <v>94</v>
      </c>
      <c r="E84" s="227" t="s">
        <v>73</v>
      </c>
      <c r="F84" s="164">
        <f>F85+F88</f>
        <v>8.9999999999999993E-3</v>
      </c>
      <c r="G84" s="11">
        <f>J84/F84</f>
        <v>2526.5100000000002</v>
      </c>
      <c r="H84" s="164">
        <v>2.9489999999999998</v>
      </c>
      <c r="I84" s="6" t="s">
        <v>38</v>
      </c>
      <c r="J84" s="11">
        <f>J86+J87+J89+J90</f>
        <v>22.738590000000002</v>
      </c>
      <c r="K84" s="8" t="s">
        <v>38</v>
      </c>
      <c r="L84" s="11">
        <f>L86+L87+L89+L90</f>
        <v>22156</v>
      </c>
      <c r="M84" s="9" t="s">
        <v>38</v>
      </c>
      <c r="O84" s="42"/>
    </row>
    <row r="85" spans="1:15" ht="45" customHeight="1" x14ac:dyDescent="0.35">
      <c r="A85" s="306"/>
      <c r="B85" s="307"/>
      <c r="C85" s="308"/>
      <c r="D85" s="3" t="s">
        <v>129</v>
      </c>
      <c r="E85" s="227" t="s">
        <v>248</v>
      </c>
      <c r="F85" s="164"/>
      <c r="G85" s="9"/>
      <c r="H85" s="9" t="s">
        <v>38</v>
      </c>
      <c r="I85" s="6" t="s">
        <v>38</v>
      </c>
      <c r="J85" s="6"/>
      <c r="K85" s="6" t="s">
        <v>38</v>
      </c>
      <c r="L85" s="1"/>
      <c r="M85" s="9" t="s">
        <v>38</v>
      </c>
      <c r="O85" s="42"/>
    </row>
    <row r="86" spans="1:15" ht="26" x14ac:dyDescent="0.35">
      <c r="A86" s="306"/>
      <c r="B86" s="307"/>
      <c r="C86" s="308"/>
      <c r="D86" s="3" t="s">
        <v>170</v>
      </c>
      <c r="E86" s="227" t="s">
        <v>249</v>
      </c>
      <c r="F86" s="164"/>
      <c r="G86" s="11"/>
      <c r="H86" s="164"/>
      <c r="I86" s="6" t="s">
        <v>38</v>
      </c>
      <c r="J86" s="11"/>
      <c r="K86" s="8" t="s">
        <v>38</v>
      </c>
      <c r="L86" s="11"/>
      <c r="M86" s="9" t="s">
        <v>38</v>
      </c>
      <c r="O86" s="42"/>
    </row>
    <row r="87" spans="1:15" ht="18.649999999999999" customHeight="1" x14ac:dyDescent="0.35">
      <c r="A87" s="306"/>
      <c r="B87" s="307"/>
      <c r="C87" s="308"/>
      <c r="D87" s="3" t="s">
        <v>255</v>
      </c>
      <c r="E87" s="227" t="s">
        <v>222</v>
      </c>
      <c r="F87" s="164"/>
      <c r="G87" s="11"/>
      <c r="H87" s="164"/>
      <c r="I87" s="6" t="s">
        <v>38</v>
      </c>
      <c r="J87" s="11"/>
      <c r="K87" s="8" t="s">
        <v>38</v>
      </c>
      <c r="L87" s="11"/>
      <c r="M87" s="9"/>
      <c r="O87" s="42"/>
    </row>
    <row r="88" spans="1:15" ht="39" x14ac:dyDescent="0.35">
      <c r="A88" s="306"/>
      <c r="B88" s="307"/>
      <c r="C88" s="308"/>
      <c r="D88" s="3" t="s">
        <v>256</v>
      </c>
      <c r="E88" s="227" t="s">
        <v>165</v>
      </c>
      <c r="F88" s="164">
        <v>8.9999999999999993E-3</v>
      </c>
      <c r="G88" s="9" t="s">
        <v>38</v>
      </c>
      <c r="H88" s="9" t="s">
        <v>38</v>
      </c>
      <c r="I88" s="9" t="s">
        <v>38</v>
      </c>
      <c r="J88" s="9" t="s">
        <v>38</v>
      </c>
      <c r="K88" s="9" t="s">
        <v>38</v>
      </c>
      <c r="L88" s="27" t="s">
        <v>38</v>
      </c>
      <c r="M88" s="9" t="s">
        <v>38</v>
      </c>
      <c r="O88" s="42"/>
    </row>
    <row r="89" spans="1:15" ht="78" x14ac:dyDescent="0.35">
      <c r="A89" s="306"/>
      <c r="B89" s="307"/>
      <c r="C89" s="308"/>
      <c r="D89" s="3" t="s">
        <v>257</v>
      </c>
      <c r="E89" s="227" t="s">
        <v>217</v>
      </c>
      <c r="F89" s="164">
        <f>F88-F90</f>
        <v>6.9999999999999993E-3</v>
      </c>
      <c r="G89" s="11">
        <f>ROUND(453.6*H89,2)</f>
        <v>1337.67</v>
      </c>
      <c r="H89" s="164">
        <v>2.9489999999999998</v>
      </c>
      <c r="I89" s="6" t="s">
        <v>38</v>
      </c>
      <c r="J89" s="1">
        <f>G89*F89</f>
        <v>9.3636900000000001</v>
      </c>
      <c r="K89" s="8" t="s">
        <v>38</v>
      </c>
      <c r="L89" s="11">
        <f>ROUND(J89*N11/1000,1)</f>
        <v>9123.7999999999993</v>
      </c>
      <c r="M89" s="9" t="s">
        <v>38</v>
      </c>
      <c r="O89" s="42"/>
    </row>
    <row r="90" spans="1:15" ht="52" x14ac:dyDescent="0.35">
      <c r="A90" s="306"/>
      <c r="B90" s="307"/>
      <c r="C90" s="308"/>
      <c r="D90" s="3" t="s">
        <v>258</v>
      </c>
      <c r="E90" s="227" t="s">
        <v>218</v>
      </c>
      <c r="F90" s="164">
        <v>2E-3</v>
      </c>
      <c r="G90" s="11">
        <f>ROUND(2267.7*H90,2)</f>
        <v>6687.45</v>
      </c>
      <c r="H90" s="164">
        <v>2.9489999999999998</v>
      </c>
      <c r="I90" s="6" t="s">
        <v>38</v>
      </c>
      <c r="J90" s="217">
        <f>G90*F90</f>
        <v>13.3749</v>
      </c>
      <c r="K90" s="8" t="s">
        <v>38</v>
      </c>
      <c r="L90" s="11">
        <f>ROUND(J90*N11/1000,1)</f>
        <v>13032.2</v>
      </c>
      <c r="M90" s="9"/>
      <c r="O90" s="42"/>
    </row>
    <row r="91" spans="1:15" ht="31.9" customHeight="1" x14ac:dyDescent="0.35">
      <c r="A91" s="306"/>
      <c r="B91" s="307"/>
      <c r="C91" s="308"/>
      <c r="D91" s="3" t="s">
        <v>95</v>
      </c>
      <c r="E91" s="227" t="s">
        <v>75</v>
      </c>
      <c r="F91" s="164"/>
      <c r="G91" s="11"/>
      <c r="H91" s="164">
        <v>2.9489999999999998</v>
      </c>
      <c r="I91" s="6" t="s">
        <v>38</v>
      </c>
      <c r="J91" s="11"/>
      <c r="K91" s="8" t="s">
        <v>38</v>
      </c>
      <c r="L91" s="11"/>
      <c r="M91" s="9" t="s">
        <v>38</v>
      </c>
      <c r="O91" s="42"/>
    </row>
    <row r="92" spans="1:15" x14ac:dyDescent="0.35">
      <c r="A92" s="306"/>
      <c r="B92" s="307"/>
      <c r="C92" s="308"/>
      <c r="D92" s="3" t="s">
        <v>151</v>
      </c>
      <c r="E92" s="227" t="s">
        <v>45</v>
      </c>
      <c r="F92" s="164"/>
      <c r="G92" s="11"/>
      <c r="H92" s="164">
        <v>2.9489999999999998</v>
      </c>
      <c r="I92" s="6" t="s">
        <v>38</v>
      </c>
      <c r="J92" s="11"/>
      <c r="K92" s="8" t="s">
        <v>38</v>
      </c>
      <c r="L92" s="11"/>
      <c r="M92" s="9" t="s">
        <v>38</v>
      </c>
      <c r="O92" s="42"/>
    </row>
    <row r="93" spans="1:15" x14ac:dyDescent="0.35">
      <c r="A93" s="306"/>
      <c r="B93" s="307"/>
      <c r="C93" s="308"/>
      <c r="D93" s="3" t="s">
        <v>259</v>
      </c>
      <c r="E93" s="227" t="s">
        <v>231</v>
      </c>
      <c r="F93" s="164"/>
      <c r="G93" s="11"/>
      <c r="H93" s="164">
        <v>2.9489999999999998</v>
      </c>
      <c r="I93" s="6" t="s">
        <v>38</v>
      </c>
      <c r="J93" s="11"/>
      <c r="K93" s="8" t="s">
        <v>38</v>
      </c>
      <c r="L93" s="11"/>
      <c r="M93" s="9" t="s">
        <v>38</v>
      </c>
      <c r="O93" s="42"/>
    </row>
    <row r="94" spans="1:15" x14ac:dyDescent="0.35">
      <c r="A94" s="306"/>
      <c r="B94" s="307"/>
      <c r="C94" s="308"/>
      <c r="D94" s="3" t="s">
        <v>260</v>
      </c>
      <c r="E94" s="227" t="s">
        <v>230</v>
      </c>
      <c r="F94" s="164"/>
      <c r="G94" s="11"/>
      <c r="H94" s="164">
        <v>2.9489999999999998</v>
      </c>
      <c r="I94" s="6" t="s">
        <v>38</v>
      </c>
      <c r="J94" s="11"/>
      <c r="K94" s="8" t="s">
        <v>38</v>
      </c>
      <c r="L94" s="11"/>
      <c r="M94" s="9" t="s">
        <v>38</v>
      </c>
      <c r="O94" s="42"/>
    </row>
    <row r="95" spans="1:15" x14ac:dyDescent="0.35">
      <c r="A95" s="306"/>
      <c r="B95" s="307"/>
      <c r="C95" s="308"/>
      <c r="D95" s="3" t="s">
        <v>261</v>
      </c>
      <c r="E95" s="227" t="s">
        <v>232</v>
      </c>
      <c r="F95" s="164"/>
      <c r="G95" s="11"/>
      <c r="H95" s="164">
        <v>2.9489999999999998</v>
      </c>
      <c r="I95" s="6" t="s">
        <v>38</v>
      </c>
      <c r="J95" s="11"/>
      <c r="K95" s="8" t="s">
        <v>38</v>
      </c>
      <c r="L95" s="11"/>
      <c r="M95" s="9" t="s">
        <v>38</v>
      </c>
      <c r="O95" s="42"/>
    </row>
    <row r="96" spans="1:15" ht="26" x14ac:dyDescent="0.35">
      <c r="A96" s="306"/>
      <c r="B96" s="307"/>
      <c r="C96" s="308"/>
      <c r="D96" s="3" t="s">
        <v>262</v>
      </c>
      <c r="E96" s="227" t="s">
        <v>233</v>
      </c>
      <c r="F96" s="164"/>
      <c r="G96" s="11"/>
      <c r="H96" s="164">
        <v>2.9489999999999998</v>
      </c>
      <c r="I96" s="6" t="s">
        <v>38</v>
      </c>
      <c r="J96" s="11"/>
      <c r="K96" s="8" t="s">
        <v>38</v>
      </c>
      <c r="L96" s="11"/>
      <c r="M96" s="9" t="s">
        <v>38</v>
      </c>
      <c r="O96" s="42"/>
    </row>
    <row r="97" spans="1:16" ht="39" x14ac:dyDescent="0.35">
      <c r="A97" s="306"/>
      <c r="B97" s="307"/>
      <c r="C97" s="308"/>
      <c r="D97" s="3" t="s">
        <v>263</v>
      </c>
      <c r="E97" s="227" t="s">
        <v>234</v>
      </c>
      <c r="F97" s="164"/>
      <c r="G97" s="11"/>
      <c r="H97" s="164">
        <v>2.9489999999999998</v>
      </c>
      <c r="I97" s="6" t="s">
        <v>38</v>
      </c>
      <c r="J97" s="11"/>
      <c r="K97" s="8" t="s">
        <v>38</v>
      </c>
      <c r="L97" s="11"/>
      <c r="M97" s="9" t="s">
        <v>38</v>
      </c>
      <c r="O97" s="42"/>
    </row>
    <row r="98" spans="1:16" ht="39" x14ac:dyDescent="0.35">
      <c r="A98" s="309"/>
      <c r="B98" s="310"/>
      <c r="C98" s="311"/>
      <c r="D98" s="3" t="s">
        <v>264</v>
      </c>
      <c r="E98" s="227" t="s">
        <v>235</v>
      </c>
      <c r="F98" s="164"/>
      <c r="G98" s="11"/>
      <c r="H98" s="164">
        <v>2.9489999999999998</v>
      </c>
      <c r="I98" s="6" t="s">
        <v>38</v>
      </c>
      <c r="J98" s="11"/>
      <c r="K98" s="8" t="s">
        <v>38</v>
      </c>
      <c r="L98" s="11"/>
      <c r="M98" s="9" t="s">
        <v>38</v>
      </c>
      <c r="O98" s="42"/>
    </row>
    <row r="99" spans="1:16" ht="25.5" customHeight="1" x14ac:dyDescent="0.35">
      <c r="A99" s="286" t="s">
        <v>157</v>
      </c>
      <c r="B99" s="286"/>
      <c r="C99" s="286"/>
      <c r="D99" s="3" t="s">
        <v>96</v>
      </c>
      <c r="E99" s="227" t="s">
        <v>47</v>
      </c>
      <c r="F99" s="45"/>
      <c r="G99" s="1"/>
      <c r="H99" s="164">
        <v>2.9489999999999998</v>
      </c>
      <c r="I99" s="6" t="s">
        <v>38</v>
      </c>
      <c r="J99" s="1"/>
      <c r="K99" s="8" t="s">
        <v>38</v>
      </c>
      <c r="L99" s="11"/>
      <c r="M99" s="9" t="s">
        <v>38</v>
      </c>
      <c r="O99" s="42"/>
    </row>
    <row r="100" spans="1:16" ht="19.149999999999999" customHeight="1" x14ac:dyDescent="0.35">
      <c r="A100" s="294" t="s">
        <v>122</v>
      </c>
      <c r="B100" s="294"/>
      <c r="C100" s="294"/>
      <c r="D100" s="3" t="s">
        <v>130</v>
      </c>
      <c r="E100" s="227" t="s">
        <v>47</v>
      </c>
      <c r="F100" s="26"/>
      <c r="G100" s="11"/>
      <c r="H100" s="164">
        <v>2.9489999999999998</v>
      </c>
      <c r="I100" s="6" t="s">
        <v>38</v>
      </c>
      <c r="J100" s="11"/>
      <c r="K100" s="8" t="s">
        <v>38</v>
      </c>
      <c r="L100" s="11"/>
      <c r="M100" s="9" t="s">
        <v>38</v>
      </c>
      <c r="O100" s="42"/>
    </row>
    <row r="101" spans="1:16" ht="19.149999999999999" customHeight="1" x14ac:dyDescent="0.35">
      <c r="A101" s="294" t="s">
        <v>124</v>
      </c>
      <c r="B101" s="294"/>
      <c r="C101" s="294"/>
      <c r="D101" s="3" t="s">
        <v>131</v>
      </c>
      <c r="E101" s="227" t="s">
        <v>47</v>
      </c>
      <c r="F101" s="45"/>
      <c r="G101" s="1"/>
      <c r="H101" s="164">
        <v>2.9489999999999998</v>
      </c>
      <c r="I101" s="6" t="s">
        <v>38</v>
      </c>
      <c r="J101" s="1"/>
      <c r="K101" s="8" t="s">
        <v>38</v>
      </c>
      <c r="L101" s="11"/>
      <c r="M101" s="9" t="s">
        <v>38</v>
      </c>
      <c r="O101" s="42"/>
    </row>
    <row r="102" spans="1:16" ht="19.149999999999999" customHeight="1" x14ac:dyDescent="0.35">
      <c r="A102" s="295" t="s">
        <v>126</v>
      </c>
      <c r="B102" s="295"/>
      <c r="C102" s="295"/>
      <c r="D102" s="3" t="s">
        <v>159</v>
      </c>
      <c r="E102" s="227" t="s">
        <v>47</v>
      </c>
      <c r="F102" s="26"/>
      <c r="G102" s="11"/>
      <c r="H102" s="164">
        <v>2.9489999999999998</v>
      </c>
      <c r="I102" s="6" t="s">
        <v>38</v>
      </c>
      <c r="J102" s="11"/>
      <c r="K102" s="8" t="s">
        <v>38</v>
      </c>
      <c r="L102" s="11"/>
      <c r="M102" s="9" t="s">
        <v>38</v>
      </c>
      <c r="O102" s="42"/>
    </row>
    <row r="103" spans="1:16" ht="15" customHeight="1" x14ac:dyDescent="0.35">
      <c r="A103" s="286" t="s">
        <v>179</v>
      </c>
      <c r="B103" s="286"/>
      <c r="C103" s="286"/>
      <c r="D103" s="3" t="s">
        <v>97</v>
      </c>
      <c r="E103" s="4" t="s">
        <v>49</v>
      </c>
      <c r="F103" s="164"/>
      <c r="G103" s="11"/>
      <c r="H103" s="164">
        <v>2.9489999999999998</v>
      </c>
      <c r="I103" s="6" t="s">
        <v>38</v>
      </c>
      <c r="J103" s="11"/>
      <c r="K103" s="8" t="s">
        <v>38</v>
      </c>
      <c r="L103" s="11"/>
      <c r="M103" s="9" t="s">
        <v>38</v>
      </c>
      <c r="O103" s="42"/>
    </row>
    <row r="104" spans="1:16" ht="15" customHeight="1" x14ac:dyDescent="0.35">
      <c r="A104" s="294" t="s">
        <v>122</v>
      </c>
      <c r="B104" s="294"/>
      <c r="C104" s="294"/>
      <c r="D104" s="3" t="s">
        <v>152</v>
      </c>
      <c r="E104" s="4" t="s">
        <v>49</v>
      </c>
      <c r="F104" s="164"/>
      <c r="G104" s="11"/>
      <c r="H104" s="164">
        <v>2.9489999999999998</v>
      </c>
      <c r="I104" s="6" t="s">
        <v>38</v>
      </c>
      <c r="J104" s="11"/>
      <c r="K104" s="8" t="s">
        <v>38</v>
      </c>
      <c r="L104" s="11"/>
      <c r="M104" s="9" t="s">
        <v>38</v>
      </c>
      <c r="O104" s="42"/>
    </row>
    <row r="105" spans="1:16" ht="15" customHeight="1" x14ac:dyDescent="0.35">
      <c r="A105" s="294" t="s">
        <v>123</v>
      </c>
      <c r="B105" s="294"/>
      <c r="C105" s="294"/>
      <c r="D105" s="3" t="s">
        <v>153</v>
      </c>
      <c r="E105" s="4" t="s">
        <v>177</v>
      </c>
      <c r="F105" s="164"/>
      <c r="G105" s="11"/>
      <c r="H105" s="164">
        <v>2.9489999999999998</v>
      </c>
      <c r="I105" s="6" t="s">
        <v>38</v>
      </c>
      <c r="J105" s="11"/>
      <c r="K105" s="8" t="s">
        <v>38</v>
      </c>
      <c r="L105" s="11"/>
      <c r="M105" s="9" t="s">
        <v>38</v>
      </c>
      <c r="O105" s="42"/>
    </row>
    <row r="106" spans="1:16" ht="15" customHeight="1" x14ac:dyDescent="0.35">
      <c r="A106" s="312" t="s">
        <v>181</v>
      </c>
      <c r="B106" s="312"/>
      <c r="C106" s="312"/>
      <c r="D106" s="3" t="s">
        <v>99</v>
      </c>
      <c r="E106" s="4" t="s">
        <v>52</v>
      </c>
      <c r="F106" s="43">
        <v>9.1999999999999998E-2</v>
      </c>
      <c r="G106" s="11">
        <f>ROUND(2312*H106,2)</f>
        <v>6818.09</v>
      </c>
      <c r="H106" s="164">
        <v>2.9489999999999998</v>
      </c>
      <c r="I106" s="6" t="s">
        <v>38</v>
      </c>
      <c r="J106" s="11">
        <f>G106*F106</f>
        <v>627.26427999999999</v>
      </c>
      <c r="K106" s="8" t="s">
        <v>38</v>
      </c>
      <c r="L106" s="11">
        <f>ROUND(J106*N11/1000,1)+1</f>
        <v>611193.5</v>
      </c>
      <c r="M106" s="9" t="s">
        <v>38</v>
      </c>
      <c r="O106" s="42"/>
    </row>
    <row r="107" spans="1:16" ht="12.75" customHeight="1" x14ac:dyDescent="0.35">
      <c r="A107" s="312" t="s">
        <v>155</v>
      </c>
      <c r="B107" s="312"/>
      <c r="C107" s="312"/>
      <c r="D107" s="3" t="s">
        <v>154</v>
      </c>
      <c r="E107" s="4" t="s">
        <v>55</v>
      </c>
      <c r="F107" s="43" t="s">
        <v>38</v>
      </c>
      <c r="G107" s="43" t="s">
        <v>38</v>
      </c>
      <c r="H107" s="164">
        <v>2.9489999999999998</v>
      </c>
      <c r="I107" s="6" t="s">
        <v>38</v>
      </c>
      <c r="J107" s="1"/>
      <c r="K107" s="8" t="s">
        <v>38</v>
      </c>
      <c r="L107" s="230"/>
      <c r="M107" s="9" t="s">
        <v>38</v>
      </c>
      <c r="O107" s="42"/>
    </row>
    <row r="108" spans="1:16" ht="15" customHeight="1" x14ac:dyDescent="0.35">
      <c r="A108" s="292" t="s">
        <v>98</v>
      </c>
      <c r="B108" s="292"/>
      <c r="C108" s="292"/>
      <c r="D108" s="20" t="s">
        <v>156</v>
      </c>
      <c r="E108" s="20"/>
      <c r="F108" s="19" t="s">
        <v>38</v>
      </c>
      <c r="G108" s="19" t="s">
        <v>38</v>
      </c>
      <c r="H108" s="164">
        <v>2.9489999999999998</v>
      </c>
      <c r="I108" s="21">
        <f>прил6!H12</f>
        <v>9192.9217408439017</v>
      </c>
      <c r="J108" s="21">
        <f>J34</f>
        <v>42855.365088496583</v>
      </c>
      <c r="K108" s="21">
        <f>K11+K29</f>
        <v>8957380.6999999993</v>
      </c>
      <c r="L108" s="21">
        <f>L34</f>
        <v>41418767.539999999</v>
      </c>
      <c r="M108" s="46"/>
      <c r="N108" s="24"/>
      <c r="O108" s="42"/>
      <c r="P108" s="24"/>
    </row>
    <row r="109" spans="1:16" x14ac:dyDescent="0.35">
      <c r="K109" s="66">
        <v>9213842.1999999993</v>
      </c>
      <c r="L109" s="216"/>
      <c r="M109" s="216"/>
      <c r="N109" s="24"/>
      <c r="O109" s="24"/>
    </row>
    <row r="110" spans="1:16" x14ac:dyDescent="0.35">
      <c r="A110" s="316" t="s">
        <v>160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</row>
    <row r="111" spans="1:16" x14ac:dyDescent="0.35">
      <c r="A111" s="317" t="s">
        <v>162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</row>
    <row r="112" spans="1:16" x14ac:dyDescent="0.35">
      <c r="A112" s="317" t="s">
        <v>163</v>
      </c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  <row r="113" spans="1:13" x14ac:dyDescent="0.3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</row>
    <row r="114" spans="1:13" x14ac:dyDescent="0.35">
      <c r="A114" s="319" t="s">
        <v>100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</row>
    <row r="115" spans="1:13" x14ac:dyDescent="0.35">
      <c r="C115" s="49" t="s">
        <v>101</v>
      </c>
      <c r="D115" s="328" t="s">
        <v>102</v>
      </c>
      <c r="E115" s="314"/>
      <c r="F115" s="315"/>
      <c r="G115" s="49" t="s">
        <v>103</v>
      </c>
      <c r="H115" s="50"/>
      <c r="I115" s="329" t="s">
        <v>104</v>
      </c>
      <c r="J115" s="330"/>
      <c r="M115" s="51"/>
    </row>
    <row r="116" spans="1:13" x14ac:dyDescent="0.35">
      <c r="C116" s="52" t="s">
        <v>105</v>
      </c>
      <c r="D116" s="313">
        <f>K12+L62</f>
        <v>2914759.9902499998</v>
      </c>
      <c r="E116" s="314"/>
      <c r="F116" s="315"/>
      <c r="G116" s="53">
        <f>D116/D126*100</f>
        <v>5.7859921651088104</v>
      </c>
      <c r="H116" s="53"/>
      <c r="I116" s="54">
        <f>D116</f>
        <v>2914759.9902499998</v>
      </c>
      <c r="J116" s="49"/>
      <c r="M116" s="47"/>
    </row>
    <row r="117" spans="1:13" x14ac:dyDescent="0.35">
      <c r="C117" s="52" t="s">
        <v>106</v>
      </c>
      <c r="D117" s="313">
        <f>K15+L36</f>
        <v>6750326.6163017694</v>
      </c>
      <c r="E117" s="314"/>
      <c r="F117" s="315"/>
      <c r="G117" s="53">
        <f>D117/D126*100</f>
        <v>13.399846657870979</v>
      </c>
      <c r="H117" s="53"/>
      <c r="I117" s="54">
        <f>D117</f>
        <v>6750326.6163017694</v>
      </c>
      <c r="J117" s="49"/>
      <c r="L117" s="47"/>
    </row>
    <row r="118" spans="1:13" x14ac:dyDescent="0.35">
      <c r="C118" s="52" t="s">
        <v>107</v>
      </c>
      <c r="D118" s="313">
        <f>K19+L68</f>
        <v>8086682.6262387875</v>
      </c>
      <c r="E118" s="314"/>
      <c r="F118" s="315"/>
      <c r="G118" s="53">
        <f>D118/D126*100</f>
        <v>16.052602091991119</v>
      </c>
      <c r="H118" s="53"/>
      <c r="I118" s="54">
        <f>D118</f>
        <v>8086682.6262387875</v>
      </c>
      <c r="J118" s="49"/>
    </row>
    <row r="119" spans="1:13" x14ac:dyDescent="0.35">
      <c r="C119" s="52" t="s">
        <v>108</v>
      </c>
      <c r="D119" s="313">
        <f>L67</f>
        <v>1072429.2</v>
      </c>
      <c r="E119" s="314"/>
      <c r="F119" s="315"/>
      <c r="G119" s="53">
        <f>D119/D126*100</f>
        <v>2.128843187634704</v>
      </c>
      <c r="H119" s="53"/>
      <c r="I119" s="54">
        <f>D119</f>
        <v>1072429.2</v>
      </c>
      <c r="J119" s="49"/>
      <c r="L119" s="47"/>
    </row>
    <row r="120" spans="1:13" x14ac:dyDescent="0.35">
      <c r="C120" s="52" t="s">
        <v>109</v>
      </c>
      <c r="D120" s="313">
        <f>K24+L79</f>
        <v>4192158.3267992842</v>
      </c>
      <c r="E120" s="314"/>
      <c r="F120" s="315"/>
      <c r="G120" s="53">
        <f>D120/D126*100</f>
        <v>8.3217127018667121</v>
      </c>
      <c r="H120" s="53"/>
      <c r="I120" s="49"/>
      <c r="J120" s="49"/>
    </row>
    <row r="121" spans="1:13" x14ac:dyDescent="0.35">
      <c r="C121" s="52" t="s">
        <v>110</v>
      </c>
      <c r="D121" s="313">
        <f>K22+L51+K28</f>
        <v>23774779.664137937</v>
      </c>
      <c r="E121" s="314"/>
      <c r="F121" s="315"/>
      <c r="G121" s="53">
        <f>D121/D126*100</f>
        <v>47.194516640833868</v>
      </c>
      <c r="H121" s="53"/>
      <c r="I121" s="49"/>
      <c r="J121" s="49"/>
    </row>
    <row r="122" spans="1:13" x14ac:dyDescent="0.35">
      <c r="C122" s="55" t="s">
        <v>111</v>
      </c>
      <c r="D122" s="313">
        <f>K28+L78</f>
        <v>983880.74</v>
      </c>
      <c r="E122" s="326"/>
      <c r="F122" s="327"/>
      <c r="G122" s="53">
        <f>D122/D126*100</f>
        <v>1.9530686135681419</v>
      </c>
      <c r="H122" s="53"/>
      <c r="I122" s="49"/>
      <c r="J122" s="49"/>
    </row>
    <row r="123" spans="1:13" x14ac:dyDescent="0.35">
      <c r="C123" s="55" t="s">
        <v>112</v>
      </c>
      <c r="D123" s="313">
        <f>L53</f>
        <v>569299.1</v>
      </c>
      <c r="E123" s="314"/>
      <c r="F123" s="315"/>
      <c r="G123" s="53">
        <f>D123/D126*100</f>
        <v>1.130096523632113</v>
      </c>
      <c r="H123" s="53"/>
      <c r="I123" s="49"/>
      <c r="J123" s="49"/>
    </row>
    <row r="124" spans="1:13" x14ac:dyDescent="0.35">
      <c r="C124" s="52" t="s">
        <v>113</v>
      </c>
      <c r="D124" s="313">
        <f>L106</f>
        <v>611193.5</v>
      </c>
      <c r="E124" s="314"/>
      <c r="F124" s="315"/>
      <c r="G124" s="53">
        <f>D124/D126*100</f>
        <v>1.2132596900584314</v>
      </c>
      <c r="H124" s="53"/>
      <c r="I124" s="49"/>
      <c r="J124" s="49"/>
    </row>
    <row r="125" spans="1:13" x14ac:dyDescent="0.35">
      <c r="C125" s="52" t="s">
        <v>114</v>
      </c>
      <c r="D125" s="313">
        <f>K27+L59+K29</f>
        <v>2973818.3162722215</v>
      </c>
      <c r="E125" s="314"/>
      <c r="F125" s="315"/>
      <c r="G125" s="53">
        <f>D125/D126*100</f>
        <v>5.9032268646353767</v>
      </c>
      <c r="H125" s="53"/>
      <c r="I125" s="49"/>
      <c r="J125" s="49"/>
    </row>
    <row r="126" spans="1:13" x14ac:dyDescent="0.35">
      <c r="C126" s="52" t="s">
        <v>115</v>
      </c>
      <c r="D126" s="313">
        <f>D116+D117+D118+D119+D120+D121+D124+D125</f>
        <v>50376148.240000002</v>
      </c>
      <c r="E126" s="314"/>
      <c r="F126" s="315"/>
      <c r="G126" s="54">
        <f>G116+G117+G118+G119+G120+G121+G124+G125</f>
        <v>100</v>
      </c>
      <c r="H126" s="54"/>
      <c r="I126" s="54">
        <f>I116+I117+I118+I119</f>
        <v>18824198.432790559</v>
      </c>
      <c r="J126" s="49">
        <f>I126/D126*100</f>
        <v>37.367284102605616</v>
      </c>
    </row>
    <row r="128" spans="1:13" x14ac:dyDescent="0.35">
      <c r="F128" s="47"/>
      <c r="K128" s="47"/>
    </row>
    <row r="129" spans="6:12" x14ac:dyDescent="0.35">
      <c r="F129" s="47"/>
      <c r="K129" s="47"/>
      <c r="L129" s="47"/>
    </row>
  </sheetData>
  <autoFilter ref="A34:U112">
    <filterColumn colId="0" showButton="0"/>
    <filterColumn colId="1" showButton="0"/>
  </autoFilter>
  <mergeCells count="89">
    <mergeCell ref="I1:M1"/>
    <mergeCell ref="A3:M3"/>
    <mergeCell ref="A4:M4"/>
    <mergeCell ref="A5:M5"/>
    <mergeCell ref="A7:C9"/>
    <mergeCell ref="D7:D9"/>
    <mergeCell ref="E7:E9"/>
    <mergeCell ref="F7:F9"/>
    <mergeCell ref="G7:G9"/>
    <mergeCell ref="H7:H9"/>
    <mergeCell ref="A22:C22"/>
    <mergeCell ref="I7:J7"/>
    <mergeCell ref="K7:M7"/>
    <mergeCell ref="I8:J8"/>
    <mergeCell ref="K8:L8"/>
    <mergeCell ref="M8:M9"/>
    <mergeCell ref="A10:C10"/>
    <mergeCell ref="A11:C11"/>
    <mergeCell ref="A12:C12"/>
    <mergeCell ref="A13:C13"/>
    <mergeCell ref="A15:C19"/>
    <mergeCell ref="A20:C21"/>
    <mergeCell ref="A14:C14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59:C59"/>
    <mergeCell ref="A35:C35"/>
    <mergeCell ref="A51:C51"/>
    <mergeCell ref="A52:C52"/>
    <mergeCell ref="A53:C53"/>
    <mergeCell ref="A54:C54"/>
    <mergeCell ref="A55:C55"/>
    <mergeCell ref="A56:C56"/>
    <mergeCell ref="A57:C57"/>
    <mergeCell ref="A58:C58"/>
    <mergeCell ref="B36:B50"/>
    <mergeCell ref="A36:A50"/>
    <mergeCell ref="A82:C82"/>
    <mergeCell ref="A60:C60"/>
    <mergeCell ref="A61:C61"/>
    <mergeCell ref="A62:C62"/>
    <mergeCell ref="A75:C75"/>
    <mergeCell ref="A76:C76"/>
    <mergeCell ref="A77:C77"/>
    <mergeCell ref="A78:C78"/>
    <mergeCell ref="A79:C79"/>
    <mergeCell ref="A80:C80"/>
    <mergeCell ref="A81:C81"/>
    <mergeCell ref="A63:C74"/>
    <mergeCell ref="A108:C108"/>
    <mergeCell ref="A83:C83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4:C98"/>
    <mergeCell ref="D121:F121"/>
    <mergeCell ref="A110:M110"/>
    <mergeCell ref="A111:M111"/>
    <mergeCell ref="A112:M112"/>
    <mergeCell ref="A113:M113"/>
    <mergeCell ref="A114:M114"/>
    <mergeCell ref="D115:F115"/>
    <mergeCell ref="I115:J115"/>
    <mergeCell ref="D116:F116"/>
    <mergeCell ref="D117:F117"/>
    <mergeCell ref="D118:F118"/>
    <mergeCell ref="D119:F119"/>
    <mergeCell ref="D120:F120"/>
    <mergeCell ref="D122:F122"/>
    <mergeCell ref="D123:F123"/>
    <mergeCell ref="D124:F124"/>
    <mergeCell ref="D125:F125"/>
    <mergeCell ref="D126:F126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0" orientation="landscape" horizontalDpi="300" verticalDpi="300" r:id="rId1"/>
  <headerFooter differentFirst="1">
    <oddHeader>&amp;C&amp;P</oddHead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topLeftCell="A16" zoomScale="85" zoomScaleNormal="100" zoomScaleSheetLayoutView="85" workbookViewId="0">
      <selection activeCell="B3" sqref="B3:B4"/>
    </sheetView>
  </sheetViews>
  <sheetFormatPr defaultRowHeight="18.5" x14ac:dyDescent="0.45"/>
  <cols>
    <col min="1" max="1" width="8.7265625" style="241" customWidth="1"/>
    <col min="2" max="2" width="69.7265625" style="240" customWidth="1"/>
    <col min="3" max="3" width="19.26953125" customWidth="1"/>
    <col min="4" max="4" width="18.7265625" style="239" customWidth="1"/>
  </cols>
  <sheetData>
    <row r="1" spans="1:4" ht="75" customHeight="1" x14ac:dyDescent="0.35">
      <c r="B1" s="282" t="s">
        <v>306</v>
      </c>
      <c r="C1" s="282"/>
      <c r="D1" s="282"/>
    </row>
    <row r="2" spans="1:4" ht="56.25" customHeight="1" x14ac:dyDescent="0.35">
      <c r="A2" s="352" t="s">
        <v>291</v>
      </c>
      <c r="B2" s="352"/>
      <c r="C2" s="352"/>
      <c r="D2" s="352"/>
    </row>
    <row r="3" spans="1:4" ht="18" x14ac:dyDescent="0.35">
      <c r="A3" s="353" t="s">
        <v>24</v>
      </c>
      <c r="B3" s="355" t="s">
        <v>290</v>
      </c>
      <c r="C3" s="357" t="s">
        <v>289</v>
      </c>
      <c r="D3" s="357"/>
    </row>
    <row r="4" spans="1:4" ht="72" x14ac:dyDescent="0.35">
      <c r="A4" s="354"/>
      <c r="B4" s="356"/>
      <c r="C4" s="251" t="s">
        <v>288</v>
      </c>
      <c r="D4" s="251" t="s">
        <v>287</v>
      </c>
    </row>
    <row r="5" spans="1:4" ht="36" x14ac:dyDescent="0.35">
      <c r="A5" s="245">
        <v>1</v>
      </c>
      <c r="B5" s="244" t="s">
        <v>286</v>
      </c>
      <c r="C5" s="250">
        <f>C6+C7+C8</f>
        <v>0.73</v>
      </c>
      <c r="D5" s="246">
        <f>D6+D7+D8</f>
        <v>2.9384999999999999</v>
      </c>
    </row>
    <row r="6" spans="1:4" ht="54" x14ac:dyDescent="0.35">
      <c r="A6" s="245">
        <v>2</v>
      </c>
      <c r="B6" s="244" t="s">
        <v>297</v>
      </c>
      <c r="C6" s="243">
        <v>0.14899999999999999</v>
      </c>
      <c r="D6" s="246">
        <v>0.2535</v>
      </c>
    </row>
    <row r="7" spans="1:4" ht="36" x14ac:dyDescent="0.35">
      <c r="A7" s="245">
        <v>3</v>
      </c>
      <c r="B7" s="244" t="s">
        <v>298</v>
      </c>
      <c r="C7" s="243"/>
      <c r="D7" s="249">
        <v>0.18099999999999999</v>
      </c>
    </row>
    <row r="8" spans="1:4" ht="36" x14ac:dyDescent="0.35">
      <c r="A8" s="245">
        <v>4</v>
      </c>
      <c r="B8" s="244" t="s">
        <v>299</v>
      </c>
      <c r="C8" s="249">
        <f>C9+C10+C11+C14+C15+C16+C17+C18</f>
        <v>0.58099999999999996</v>
      </c>
      <c r="D8" s="246">
        <f>D9+D10+D11+D14+D15+D16+D17+D18</f>
        <v>2.504</v>
      </c>
    </row>
    <row r="9" spans="1:4" ht="36" x14ac:dyDescent="0.35">
      <c r="A9" s="245">
        <v>5</v>
      </c>
      <c r="B9" s="244" t="s">
        <v>285</v>
      </c>
      <c r="C9" s="243">
        <v>0.153</v>
      </c>
      <c r="D9" s="246">
        <v>0.1552</v>
      </c>
    </row>
    <row r="10" spans="1:4" ht="36" x14ac:dyDescent="0.35">
      <c r="A10" s="245">
        <v>6</v>
      </c>
      <c r="B10" s="244" t="s">
        <v>300</v>
      </c>
      <c r="C10" s="243"/>
      <c r="D10" s="242">
        <v>3.8870000000000002E-2</v>
      </c>
    </row>
    <row r="11" spans="1:4" ht="36" x14ac:dyDescent="0.35">
      <c r="A11" s="245">
        <v>7</v>
      </c>
      <c r="B11" s="244" t="s">
        <v>284</v>
      </c>
      <c r="C11" s="243"/>
      <c r="D11" s="246">
        <f>D12+D13</f>
        <v>8.5000000000000006E-3</v>
      </c>
    </row>
    <row r="12" spans="1:4" ht="46.5" x14ac:dyDescent="0.35">
      <c r="A12" s="247" t="s">
        <v>283</v>
      </c>
      <c r="B12" s="248" t="s">
        <v>282</v>
      </c>
      <c r="C12" s="243"/>
      <c r="D12" s="246">
        <v>7.0000000000000001E-3</v>
      </c>
    </row>
    <row r="13" spans="1:4" ht="31" x14ac:dyDescent="0.35">
      <c r="A13" s="247" t="s">
        <v>281</v>
      </c>
      <c r="B13" s="248" t="s">
        <v>280</v>
      </c>
      <c r="C13" s="243"/>
      <c r="D13" s="246">
        <v>1.5E-3</v>
      </c>
    </row>
    <row r="14" spans="1:4" ht="18" x14ac:dyDescent="0.35">
      <c r="A14" s="247" t="s">
        <v>19</v>
      </c>
      <c r="B14" s="244" t="s">
        <v>301</v>
      </c>
      <c r="C14" s="243">
        <v>0.32700000000000001</v>
      </c>
      <c r="D14" s="242">
        <v>1.1480600000000001</v>
      </c>
    </row>
    <row r="15" spans="1:4" ht="18" x14ac:dyDescent="0.35">
      <c r="A15" s="247" t="s">
        <v>50</v>
      </c>
      <c r="B15" s="244" t="s">
        <v>279</v>
      </c>
      <c r="C15" s="243"/>
      <c r="D15" s="246">
        <v>6.7199999999999996E-2</v>
      </c>
    </row>
    <row r="16" spans="1:4" ht="54" x14ac:dyDescent="0.35">
      <c r="A16" s="245">
        <v>12</v>
      </c>
      <c r="B16" s="244" t="s">
        <v>278</v>
      </c>
      <c r="C16" s="243"/>
      <c r="D16" s="242">
        <v>0.25867000000000001</v>
      </c>
    </row>
    <row r="17" spans="1:4" ht="36" x14ac:dyDescent="0.35">
      <c r="A17" s="245">
        <v>13</v>
      </c>
      <c r="B17" s="244" t="s">
        <v>277</v>
      </c>
      <c r="C17" s="243"/>
      <c r="D17" s="242">
        <v>1.5270000000000001E-2</v>
      </c>
    </row>
    <row r="18" spans="1:4" ht="36" x14ac:dyDescent="0.35">
      <c r="A18" s="245">
        <v>14</v>
      </c>
      <c r="B18" s="244" t="s">
        <v>276</v>
      </c>
      <c r="C18" s="243">
        <v>0.10100000000000001</v>
      </c>
      <c r="D18" s="242">
        <v>0.81223000000000001</v>
      </c>
    </row>
    <row r="21" spans="1:4" ht="18" customHeight="1" x14ac:dyDescent="0.35">
      <c r="A21" s="351" t="s">
        <v>292</v>
      </c>
      <c r="B21" s="351"/>
      <c r="C21" s="351"/>
      <c r="D21" s="351"/>
    </row>
  </sheetData>
  <mergeCells count="6">
    <mergeCell ref="A21:D21"/>
    <mergeCell ref="B1:D1"/>
    <mergeCell ref="A2:D2"/>
    <mergeCell ref="A3:A4"/>
    <mergeCell ref="B3:B4"/>
    <mergeCell ref="C3:D3"/>
  </mergeCells>
  <pageMargins left="0.7" right="0.7" top="0.75" bottom="0.75" header="0.3" footer="0.3"/>
  <pageSetup paperSize="9" scale="73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zoomScale="55" zoomScaleNormal="55" workbookViewId="0">
      <pane xSplit="1" ySplit="5" topLeftCell="B42" activePane="bottomRight" state="frozen"/>
      <selection pane="topRight" activeCell="B1" sqref="B1"/>
      <selection pane="bottomLeft" activeCell="A5" sqref="A5"/>
      <selection pane="bottomRight" activeCell="H58" sqref="H58"/>
    </sheetView>
  </sheetViews>
  <sheetFormatPr defaultColWidth="9.26953125" defaultRowHeight="14.5" x14ac:dyDescent="0.35"/>
  <cols>
    <col min="1" max="1" width="125.7265625" style="2" customWidth="1"/>
    <col min="2" max="2" width="19.453125" style="69" customWidth="1"/>
    <col min="3" max="3" width="18.26953125" style="2" customWidth="1"/>
    <col min="4" max="4" width="24.7265625" style="2" customWidth="1"/>
    <col min="5" max="5" width="19.453125" style="2" customWidth="1"/>
    <col min="6" max="6" width="19.453125" style="70" customWidth="1"/>
    <col min="7" max="7" width="25.7265625" style="2" customWidth="1"/>
    <col min="8" max="9" width="26.7265625" style="2" customWidth="1"/>
    <col min="10" max="10" width="14.26953125" style="2" bestFit="1" customWidth="1"/>
    <col min="11" max="16384" width="9.26953125" style="2"/>
  </cols>
  <sheetData>
    <row r="1" spans="1:10" x14ac:dyDescent="0.3">
      <c r="I1" s="71"/>
    </row>
    <row r="2" spans="1:10" ht="34.15" customHeight="1" x14ac:dyDescent="0.35">
      <c r="A2" s="358" t="s">
        <v>182</v>
      </c>
      <c r="B2" s="358"/>
      <c r="C2" s="358"/>
      <c r="D2" s="358"/>
      <c r="E2" s="358"/>
      <c r="F2" s="358"/>
      <c r="G2" s="358"/>
      <c r="H2" s="358"/>
      <c r="I2" s="358"/>
    </row>
    <row r="3" spans="1:10" ht="34.15" customHeight="1" thickBot="1" x14ac:dyDescent="0.4">
      <c r="A3" s="359" t="s">
        <v>183</v>
      </c>
      <c r="B3" s="359"/>
      <c r="C3" s="359"/>
      <c r="D3" s="359"/>
      <c r="E3" s="359"/>
      <c r="F3" s="359"/>
      <c r="G3" s="359"/>
      <c r="H3" s="359"/>
    </row>
    <row r="4" spans="1:10" ht="77.650000000000006" customHeight="1" x14ac:dyDescent="0.35">
      <c r="A4" s="360" t="s">
        <v>184</v>
      </c>
      <c r="B4" s="362" t="s">
        <v>184</v>
      </c>
      <c r="C4" s="363"/>
      <c r="D4" s="364" t="s">
        <v>185</v>
      </c>
      <c r="E4" s="364"/>
      <c r="F4" s="362" t="s">
        <v>28</v>
      </c>
      <c r="G4" s="363"/>
      <c r="H4" s="364" t="s">
        <v>186</v>
      </c>
      <c r="I4" s="365"/>
    </row>
    <row r="5" spans="1:10" ht="34.15" customHeight="1" thickBot="1" x14ac:dyDescent="0.4">
      <c r="A5" s="361"/>
      <c r="B5" s="72" t="s">
        <v>187</v>
      </c>
      <c r="C5" s="73" t="s">
        <v>188</v>
      </c>
      <c r="D5" s="73" t="s">
        <v>187</v>
      </c>
      <c r="E5" s="73" t="s">
        <v>189</v>
      </c>
      <c r="F5" s="73" t="s">
        <v>187</v>
      </c>
      <c r="G5" s="73" t="s">
        <v>189</v>
      </c>
      <c r="H5" s="73" t="s">
        <v>187</v>
      </c>
      <c r="I5" s="74" t="s">
        <v>189</v>
      </c>
    </row>
    <row r="6" spans="1:10" ht="34.15" customHeight="1" x14ac:dyDescent="0.4">
      <c r="A6" s="75" t="s">
        <v>190</v>
      </c>
      <c r="B6" s="76">
        <v>0.3</v>
      </c>
      <c r="C6" s="76">
        <v>3.9340772880541745E-3</v>
      </c>
      <c r="D6" s="77">
        <v>2314</v>
      </c>
      <c r="E6" s="77">
        <f>246245.317894737/3.393</f>
        <v>72574.511610591522</v>
      </c>
      <c r="F6" s="77">
        <v>2.95</v>
      </c>
      <c r="G6" s="78">
        <v>3.3929999999999998</v>
      </c>
      <c r="H6" s="77">
        <f>B6*D6*F6*$E$58</f>
        <v>1995449680.77</v>
      </c>
      <c r="I6" s="156">
        <f>C6*E6*G6*F58</f>
        <v>935732208.00000072</v>
      </c>
    </row>
    <row r="7" spans="1:10" ht="34.15" customHeight="1" x14ac:dyDescent="0.35">
      <c r="A7" s="80" t="s">
        <v>191</v>
      </c>
      <c r="B7" s="81">
        <v>2.88</v>
      </c>
      <c r="C7" s="81">
        <v>0.73</v>
      </c>
      <c r="D7" s="82">
        <v>473.8</v>
      </c>
      <c r="E7" s="82">
        <v>440.5</v>
      </c>
      <c r="F7" s="77">
        <v>2.95</v>
      </c>
      <c r="G7" s="78">
        <v>3.3929999999999998</v>
      </c>
      <c r="H7" s="77">
        <f t="shared" ref="H7:H16" si="0">B7*D7*F7*$E$58</f>
        <v>3922326259.2863998</v>
      </c>
      <c r="I7" s="156">
        <f>C7*E7*G7*F58</f>
        <v>1053885286.7963549</v>
      </c>
    </row>
    <row r="8" spans="1:10" ht="34.15" customHeight="1" x14ac:dyDescent="0.35">
      <c r="A8" s="83" t="s">
        <v>192</v>
      </c>
      <c r="B8" s="81">
        <v>1.77</v>
      </c>
      <c r="C8" s="81">
        <v>0.14399999999999999</v>
      </c>
      <c r="D8" s="82">
        <v>1314.8</v>
      </c>
      <c r="E8" s="82">
        <v>1277.3</v>
      </c>
      <c r="F8" s="77">
        <v>2.95</v>
      </c>
      <c r="G8" s="78">
        <v>3.3929999999999998</v>
      </c>
      <c r="H8" s="77">
        <f t="shared" si="0"/>
        <v>6689430301.4826002</v>
      </c>
      <c r="I8" s="156">
        <f>C8*E8*G8*F58</f>
        <v>602809340.14211035</v>
      </c>
    </row>
    <row r="9" spans="1:10" ht="50.65" customHeight="1" x14ac:dyDescent="0.35">
      <c r="A9" s="83" t="s">
        <v>193</v>
      </c>
      <c r="B9" s="81">
        <v>0.56000000000000005</v>
      </c>
      <c r="C9" s="81"/>
      <c r="D9" s="82">
        <v>601.4</v>
      </c>
      <c r="E9" s="82"/>
      <c r="F9" s="77">
        <v>2.95</v>
      </c>
      <c r="G9" s="78">
        <v>3.3929999999999998</v>
      </c>
      <c r="H9" s="77">
        <f t="shared" si="0"/>
        <v>968071917.73040009</v>
      </c>
      <c r="I9" s="79">
        <f>C9*E9*G9*F58</f>
        <v>0</v>
      </c>
    </row>
    <row r="10" spans="1:10" ht="34.15" customHeight="1" x14ac:dyDescent="0.35">
      <c r="A10" s="83" t="s">
        <v>194</v>
      </c>
      <c r="B10" s="81">
        <v>6.2E-2</v>
      </c>
      <c r="C10" s="81">
        <v>4.0000000000000001E-3</v>
      </c>
      <c r="D10" s="82">
        <v>19266.099999999999</v>
      </c>
      <c r="E10" s="82">
        <v>13045.5</v>
      </c>
      <c r="F10" s="77">
        <v>2.95</v>
      </c>
      <c r="G10" s="78">
        <v>3.3929999999999998</v>
      </c>
      <c r="H10" s="77">
        <f t="shared" si="0"/>
        <v>3433536519.5481701</v>
      </c>
      <c r="I10" s="156">
        <f>C10*E10*G10*F58</f>
        <v>171019364.78039402</v>
      </c>
    </row>
    <row r="11" spans="1:10" ht="34.15" customHeight="1" x14ac:dyDescent="0.35">
      <c r="A11" s="83" t="s">
        <v>195</v>
      </c>
      <c r="B11" s="84">
        <v>0.17443</v>
      </c>
      <c r="C11" s="81">
        <v>1.46E-2</v>
      </c>
      <c r="D11" s="82">
        <v>32082.2</v>
      </c>
      <c r="E11" s="82">
        <v>75560.800000000003</v>
      </c>
      <c r="F11" s="77">
        <v>2.95</v>
      </c>
      <c r="G11" s="78">
        <v>3.3929999999999998</v>
      </c>
      <c r="H11" s="77">
        <f t="shared" si="0"/>
        <v>16085756639.287365</v>
      </c>
      <c r="I11" s="156">
        <f>C11*E11*G11*F58</f>
        <v>3615546668.7201819</v>
      </c>
    </row>
    <row r="12" spans="1:10" ht="34.15" customHeight="1" x14ac:dyDescent="0.35">
      <c r="A12" s="83" t="s">
        <v>196</v>
      </c>
      <c r="B12" s="81">
        <v>4.0000000000000001E-3</v>
      </c>
      <c r="C12" s="81"/>
      <c r="D12" s="82">
        <v>34656.6</v>
      </c>
      <c r="E12" s="82"/>
      <c r="F12" s="77">
        <v>2.95</v>
      </c>
      <c r="G12" s="78">
        <v>3.3929999999999998</v>
      </c>
      <c r="H12" s="77">
        <f t="shared" si="0"/>
        <v>398475951.63683999</v>
      </c>
      <c r="I12" s="79">
        <f>C12*E12*G12*F58</f>
        <v>0</v>
      </c>
    </row>
    <row r="13" spans="1:10" ht="34.15" customHeight="1" x14ac:dyDescent="0.35">
      <c r="A13" s="83" t="s">
        <v>197</v>
      </c>
      <c r="B13" s="81"/>
      <c r="C13" s="81"/>
      <c r="D13" s="82"/>
      <c r="E13" s="82"/>
      <c r="F13" s="77">
        <v>2.95</v>
      </c>
      <c r="G13" s="78">
        <v>3.3929999999999998</v>
      </c>
      <c r="H13" s="77">
        <f t="shared" si="0"/>
        <v>0</v>
      </c>
      <c r="I13" s="79">
        <f>C13*E13*G13*F58</f>
        <v>0</v>
      </c>
    </row>
    <row r="14" spans="1:10" ht="34.15" customHeight="1" x14ac:dyDescent="0.35">
      <c r="A14" s="83" t="s">
        <v>198</v>
      </c>
      <c r="B14" s="81"/>
      <c r="C14" s="81">
        <v>9.1999999999999998E-2</v>
      </c>
      <c r="D14" s="82"/>
      <c r="E14" s="82">
        <v>2022.9</v>
      </c>
      <c r="F14" s="77">
        <v>2.95</v>
      </c>
      <c r="G14" s="78">
        <v>3.3929999999999998</v>
      </c>
      <c r="H14" s="77">
        <f t="shared" si="0"/>
        <v>0</v>
      </c>
      <c r="I14" s="79">
        <f>C14*E14*G14*F58</f>
        <v>609939571.44823563</v>
      </c>
    </row>
    <row r="15" spans="1:10" ht="34.15" customHeight="1" x14ac:dyDescent="0.35">
      <c r="A15" s="83" t="s">
        <v>214</v>
      </c>
      <c r="B15" s="86"/>
      <c r="C15" s="86">
        <v>8.9999999999999993E-3</v>
      </c>
      <c r="D15" s="87"/>
      <c r="E15" s="87">
        <f>1940.796/3.393</f>
        <v>572</v>
      </c>
      <c r="F15" s="77"/>
      <c r="G15" s="78">
        <v>3.3929999999999998</v>
      </c>
      <c r="H15" s="77"/>
      <c r="I15" s="79">
        <f>C15*E15*G14*F58</f>
        <v>16871865.583715998</v>
      </c>
    </row>
    <row r="16" spans="1:10" ht="34.15" customHeight="1" thickBot="1" x14ac:dyDescent="0.4">
      <c r="A16" s="85" t="s">
        <v>199</v>
      </c>
      <c r="B16" s="86"/>
      <c r="C16" s="157">
        <v>1.4141972567057899E-3</v>
      </c>
      <c r="D16" s="87"/>
      <c r="E16" s="87">
        <f>191076.866764275/3.393</f>
        <v>56315.021150685243</v>
      </c>
      <c r="F16" s="77">
        <v>2.95</v>
      </c>
      <c r="G16" s="78">
        <v>3.3929999999999998</v>
      </c>
      <c r="H16" s="77">
        <f t="shared" si="0"/>
        <v>0</v>
      </c>
      <c r="I16" s="156">
        <v>261011000</v>
      </c>
      <c r="J16" s="2">
        <f>327905.816*1000</f>
        <v>327905816</v>
      </c>
    </row>
    <row r="17" spans="1:10" ht="46.15" customHeight="1" thickBot="1" x14ac:dyDescent="0.4">
      <c r="A17" s="88" t="s">
        <v>200</v>
      </c>
      <c r="B17" s="89"/>
      <c r="C17" s="90"/>
      <c r="D17" s="91"/>
      <c r="E17" s="91"/>
      <c r="F17" s="91"/>
      <c r="G17" s="92"/>
      <c r="H17" s="93">
        <f>H6+H7+H8+H9+H10+H11+H14+H16</f>
        <v>33094571318.104935</v>
      </c>
      <c r="I17" s="94">
        <f>SUM(I6:I16)</f>
        <v>7266815305.470994</v>
      </c>
      <c r="J17" s="155">
        <f>I16-J16</f>
        <v>-66894816</v>
      </c>
    </row>
    <row r="18" spans="1:10" ht="34.15" customHeight="1" x14ac:dyDescent="0.3">
      <c r="A18" s="95"/>
      <c r="G18" s="96"/>
      <c r="H18" s="96"/>
      <c r="I18" s="96"/>
    </row>
    <row r="19" spans="1:10" ht="34.15" customHeight="1" x14ac:dyDescent="0.35">
      <c r="A19" s="358" t="s">
        <v>202</v>
      </c>
      <c r="B19" s="358"/>
      <c r="C19" s="358"/>
      <c r="D19" s="358"/>
      <c r="E19" s="358"/>
      <c r="F19" s="358"/>
      <c r="G19" s="358"/>
      <c r="H19" s="358"/>
      <c r="I19" s="358"/>
    </row>
    <row r="20" spans="1:10" ht="34.15" customHeight="1" thickBot="1" x14ac:dyDescent="0.35"/>
    <row r="21" spans="1:10" ht="75.650000000000006" customHeight="1" x14ac:dyDescent="0.35">
      <c r="A21" s="360" t="s">
        <v>184</v>
      </c>
      <c r="B21" s="362" t="s">
        <v>184</v>
      </c>
      <c r="C21" s="363"/>
      <c r="D21" s="364" t="s">
        <v>185</v>
      </c>
      <c r="E21" s="364"/>
      <c r="F21" s="362" t="s">
        <v>28</v>
      </c>
      <c r="G21" s="363"/>
      <c r="H21" s="364" t="s">
        <v>215</v>
      </c>
      <c r="I21" s="365"/>
    </row>
    <row r="22" spans="1:10" ht="34.15" customHeight="1" thickBot="1" x14ac:dyDescent="0.4">
      <c r="A22" s="361"/>
      <c r="B22" s="72" t="s">
        <v>187</v>
      </c>
      <c r="C22" s="73" t="s">
        <v>188</v>
      </c>
      <c r="D22" s="73" t="s">
        <v>187</v>
      </c>
      <c r="E22" s="73" t="s">
        <v>189</v>
      </c>
      <c r="F22" s="73" t="s">
        <v>187</v>
      </c>
      <c r="G22" s="73" t="s">
        <v>189</v>
      </c>
      <c r="H22" s="73" t="s">
        <v>187</v>
      </c>
      <c r="I22" s="74" t="s">
        <v>189</v>
      </c>
    </row>
    <row r="23" spans="1:10" ht="34.15" customHeight="1" x14ac:dyDescent="0.4">
      <c r="A23" s="75" t="s">
        <v>190</v>
      </c>
      <c r="B23" s="76">
        <v>0.3</v>
      </c>
      <c r="C23" s="76"/>
      <c r="D23" s="77">
        <v>2302.6999999999998</v>
      </c>
      <c r="E23" s="77"/>
      <c r="F23" s="77">
        <v>2.95</v>
      </c>
      <c r="G23" s="78">
        <v>3.3929999999999998</v>
      </c>
      <c r="H23" s="77">
        <f t="shared" ref="H23:H31" si="1">B23*D23*979661*G23</f>
        <v>2296245375.0861297</v>
      </c>
      <c r="I23" s="158">
        <f>766338.75*1000</f>
        <v>766338750</v>
      </c>
    </row>
    <row r="24" spans="1:10" ht="34.15" customHeight="1" x14ac:dyDescent="0.35">
      <c r="A24" s="80" t="s">
        <v>191</v>
      </c>
      <c r="B24" s="81">
        <v>2.35</v>
      </c>
      <c r="C24" s="81">
        <v>0.73</v>
      </c>
      <c r="D24" s="82">
        <v>467.3</v>
      </c>
      <c r="E24" s="82">
        <v>457.2</v>
      </c>
      <c r="F24" s="77">
        <v>2.95</v>
      </c>
      <c r="G24" s="78">
        <v>3.3929999999999998</v>
      </c>
      <c r="H24" s="82">
        <f t="shared" si="1"/>
        <v>3650255989.1688147</v>
      </c>
      <c r="I24" s="158">
        <f>C24*E24*$F$59*G24</f>
        <v>1095331036.8854878</v>
      </c>
    </row>
    <row r="25" spans="1:10" ht="34.15" customHeight="1" x14ac:dyDescent="0.35">
      <c r="A25" s="83" t="s">
        <v>192</v>
      </c>
      <c r="B25" s="81">
        <v>1.98</v>
      </c>
      <c r="C25" s="81">
        <v>0.14399999999999999</v>
      </c>
      <c r="D25" s="82">
        <v>1309</v>
      </c>
      <c r="E25" s="82">
        <v>1325.8</v>
      </c>
      <c r="F25" s="77">
        <v>2.95</v>
      </c>
      <c r="G25" s="78">
        <v>3.3929999999999998</v>
      </c>
      <c r="H25" s="82">
        <f t="shared" si="1"/>
        <v>8615183173.4568596</v>
      </c>
      <c r="I25" s="158">
        <f t="shared" ref="I25:I32" si="2">C25*E25*$F$59*G25</f>
        <v>626551564.53576946</v>
      </c>
    </row>
    <row r="26" spans="1:10" ht="45.65" customHeight="1" x14ac:dyDescent="0.35">
      <c r="A26" s="83" t="s">
        <v>193</v>
      </c>
      <c r="B26" s="81">
        <v>0.56000000000000005</v>
      </c>
      <c r="C26" s="81"/>
      <c r="D26" s="82">
        <v>598.20000000000005</v>
      </c>
      <c r="E26" s="82"/>
      <c r="F26" s="77">
        <v>2.95</v>
      </c>
      <c r="G26" s="78">
        <v>3.3929999999999998</v>
      </c>
      <c r="H26" s="82">
        <f t="shared" si="1"/>
        <v>1113509982.0368161</v>
      </c>
      <c r="I26" s="79">
        <f t="shared" si="2"/>
        <v>0</v>
      </c>
    </row>
    <row r="27" spans="1:10" ht="34.15" customHeight="1" x14ac:dyDescent="0.35">
      <c r="A27" s="83" t="s">
        <v>194</v>
      </c>
      <c r="B27" s="81">
        <v>0.06</v>
      </c>
      <c r="C27" s="81">
        <v>4.0000000000000001E-3</v>
      </c>
      <c r="D27" s="82">
        <v>15206.9</v>
      </c>
      <c r="E27" s="82">
        <v>13541.2</v>
      </c>
      <c r="F27" s="77">
        <v>2.95</v>
      </c>
      <c r="G27" s="78">
        <v>3.3929999999999998</v>
      </c>
      <c r="H27" s="82">
        <f t="shared" si="1"/>
        <v>3032854804.742022</v>
      </c>
      <c r="I27" s="158">
        <f t="shared" si="2"/>
        <v>177759760.26407039</v>
      </c>
    </row>
    <row r="28" spans="1:10" ht="34.15" customHeight="1" x14ac:dyDescent="0.35">
      <c r="A28" s="83" t="s">
        <v>195</v>
      </c>
      <c r="B28" s="84">
        <v>0.17235</v>
      </c>
      <c r="C28" s="159">
        <v>1.46E-2</v>
      </c>
      <c r="D28" s="82">
        <v>31132.6</v>
      </c>
      <c r="E28" s="82">
        <v>78432.100000000006</v>
      </c>
      <c r="F28" s="77">
        <v>2.95</v>
      </c>
      <c r="G28" s="78">
        <v>3.3929999999999998</v>
      </c>
      <c r="H28" s="82">
        <f t="shared" si="1"/>
        <v>17835543924.58918</v>
      </c>
      <c r="I28" s="158">
        <f t="shared" si="2"/>
        <v>3758053955.2977376</v>
      </c>
    </row>
    <row r="29" spans="1:10" ht="34.15" customHeight="1" x14ac:dyDescent="0.35">
      <c r="A29" s="83" t="s">
        <v>196</v>
      </c>
      <c r="B29" s="81">
        <v>5.8000000000000003E-2</v>
      </c>
      <c r="C29" s="81"/>
      <c r="D29" s="82">
        <v>2421.4</v>
      </c>
      <c r="E29" s="82"/>
      <c r="F29" s="77">
        <v>2.95</v>
      </c>
      <c r="G29" s="78">
        <v>3.3929999999999998</v>
      </c>
      <c r="H29" s="82">
        <f t="shared" si="1"/>
        <v>466825112.50784761</v>
      </c>
      <c r="I29" s="79">
        <f t="shared" si="2"/>
        <v>0</v>
      </c>
    </row>
    <row r="30" spans="1:10" ht="34.15" customHeight="1" x14ac:dyDescent="0.35">
      <c r="A30" s="83" t="s">
        <v>197</v>
      </c>
      <c r="B30" s="81">
        <v>1.4E-2</v>
      </c>
      <c r="C30" s="81"/>
      <c r="D30" s="82">
        <v>2421.4</v>
      </c>
      <c r="E30" s="82"/>
      <c r="F30" s="77">
        <v>2.95</v>
      </c>
      <c r="G30" s="78">
        <v>3.3929999999999998</v>
      </c>
      <c r="H30" s="82">
        <f t="shared" si="1"/>
        <v>112681923.70879079</v>
      </c>
      <c r="I30" s="79">
        <f t="shared" si="2"/>
        <v>0</v>
      </c>
    </row>
    <row r="31" spans="1:10" ht="34.15" customHeight="1" x14ac:dyDescent="0.35">
      <c r="A31" s="83" t="s">
        <v>198</v>
      </c>
      <c r="B31" s="81"/>
      <c r="C31" s="81">
        <v>9.1999999999999998E-2</v>
      </c>
      <c r="D31" s="82"/>
      <c r="E31" s="82">
        <v>2099.8000000000002</v>
      </c>
      <c r="F31" s="77">
        <v>2.95</v>
      </c>
      <c r="G31" s="78">
        <v>3.3929999999999998</v>
      </c>
      <c r="H31" s="82">
        <f t="shared" si="1"/>
        <v>0</v>
      </c>
      <c r="I31" s="79">
        <f t="shared" si="2"/>
        <v>633989508.00943673</v>
      </c>
    </row>
    <row r="32" spans="1:10" ht="34.15" customHeight="1" x14ac:dyDescent="0.35">
      <c r="A32" s="83" t="s">
        <v>214</v>
      </c>
      <c r="B32" s="86"/>
      <c r="C32" s="157">
        <v>0.01</v>
      </c>
      <c r="D32" s="87"/>
      <c r="E32" s="87">
        <v>657.63</v>
      </c>
      <c r="F32" s="77">
        <v>2.95</v>
      </c>
      <c r="G32" s="78">
        <v>3.3929999999999998</v>
      </c>
      <c r="H32" s="87"/>
      <c r="I32" s="79">
        <f t="shared" si="2"/>
        <v>21582310.1243724</v>
      </c>
    </row>
    <row r="33" spans="1:9" ht="34.15" customHeight="1" thickBot="1" x14ac:dyDescent="0.4">
      <c r="A33" s="85" t="s">
        <v>199</v>
      </c>
      <c r="B33" s="86"/>
      <c r="C33" s="86"/>
      <c r="D33" s="87"/>
      <c r="E33" s="87"/>
      <c r="F33" s="77">
        <v>2.95</v>
      </c>
      <c r="G33" s="78">
        <v>3.3929999999999998</v>
      </c>
      <c r="H33" s="87">
        <f>B33*D33*979661*G33</f>
        <v>0</v>
      </c>
      <c r="I33" s="158">
        <f>261011*1000</f>
        <v>261011000</v>
      </c>
    </row>
    <row r="34" spans="1:9" ht="42" customHeight="1" thickBot="1" x14ac:dyDescent="0.4">
      <c r="A34" s="88" t="s">
        <v>200</v>
      </c>
      <c r="B34" s="89"/>
      <c r="C34" s="90"/>
      <c r="D34" s="91"/>
      <c r="E34" s="91"/>
      <c r="F34" s="91"/>
      <c r="G34" s="92"/>
      <c r="H34" s="93">
        <f>H23+H24+H25+H26+H27+H28+H31+H33</f>
        <v>36543593249.079819</v>
      </c>
      <c r="I34" s="94">
        <f>SUM(I23:I33)</f>
        <v>7340617885.1168737</v>
      </c>
    </row>
    <row r="35" spans="1:9" ht="34.15" customHeight="1" x14ac:dyDescent="0.3"/>
    <row r="36" spans="1:9" ht="34.15" customHeight="1" x14ac:dyDescent="0.35">
      <c r="A36" s="358" t="s">
        <v>212</v>
      </c>
      <c r="B36" s="358"/>
      <c r="C36" s="358"/>
      <c r="D36" s="358"/>
      <c r="E36" s="358"/>
      <c r="F36" s="358"/>
      <c r="G36" s="358"/>
      <c r="H36" s="358"/>
      <c r="I36" s="358"/>
    </row>
    <row r="37" spans="1:9" ht="34.15" customHeight="1" thickBot="1" x14ac:dyDescent="0.35"/>
    <row r="38" spans="1:9" ht="79.900000000000006" customHeight="1" x14ac:dyDescent="0.35">
      <c r="A38" s="360" t="s">
        <v>184</v>
      </c>
      <c r="B38" s="362" t="s">
        <v>184</v>
      </c>
      <c r="C38" s="363"/>
      <c r="D38" s="364" t="s">
        <v>185</v>
      </c>
      <c r="E38" s="364"/>
      <c r="F38" s="362" t="s">
        <v>28</v>
      </c>
      <c r="G38" s="363"/>
      <c r="H38" s="364" t="s">
        <v>201</v>
      </c>
      <c r="I38" s="365"/>
    </row>
    <row r="39" spans="1:9" ht="34.15" customHeight="1" thickBot="1" x14ac:dyDescent="0.4">
      <c r="A39" s="361"/>
      <c r="B39" s="72" t="s">
        <v>187</v>
      </c>
      <c r="C39" s="73" t="s">
        <v>188</v>
      </c>
      <c r="D39" s="73" t="s">
        <v>187</v>
      </c>
      <c r="E39" s="73" t="s">
        <v>189</v>
      </c>
      <c r="F39" s="73" t="s">
        <v>187</v>
      </c>
      <c r="G39" s="73" t="s">
        <v>189</v>
      </c>
      <c r="H39" s="73" t="s">
        <v>187</v>
      </c>
      <c r="I39" s="74" t="s">
        <v>189</v>
      </c>
    </row>
    <row r="40" spans="1:9" ht="34.15" customHeight="1" x14ac:dyDescent="0.35">
      <c r="A40" s="97" t="s">
        <v>190</v>
      </c>
      <c r="B40" s="76">
        <v>0.3</v>
      </c>
      <c r="C40" s="76"/>
      <c r="D40" s="77">
        <v>2390.9</v>
      </c>
      <c r="E40" s="77"/>
      <c r="F40" s="77">
        <v>2.95</v>
      </c>
      <c r="G40" s="78">
        <v>3.3929999999999998</v>
      </c>
      <c r="H40" s="77">
        <f t="shared" ref="H40:H48" si="3">B40*D40*979661*2.5716</f>
        <v>1807015605.1706522</v>
      </c>
      <c r="I40" s="79">
        <f>766338.75*1000</f>
        <v>766338750</v>
      </c>
    </row>
    <row r="41" spans="1:9" ht="34.15" customHeight="1" x14ac:dyDescent="0.35">
      <c r="A41" s="80" t="s">
        <v>191</v>
      </c>
      <c r="B41" s="81">
        <v>2.35</v>
      </c>
      <c r="C41" s="81">
        <v>0.73</v>
      </c>
      <c r="D41" s="82">
        <v>484</v>
      </c>
      <c r="E41" s="82">
        <v>475.5</v>
      </c>
      <c r="F41" s="77">
        <v>2.95</v>
      </c>
      <c r="G41" s="78">
        <v>3.3929999999999998</v>
      </c>
      <c r="H41" s="82">
        <f t="shared" si="3"/>
        <v>2865447529.2722402</v>
      </c>
      <c r="I41" s="98">
        <f>C41*E41*$F$60*G41</f>
        <v>1140956157.65625</v>
      </c>
    </row>
    <row r="42" spans="1:9" ht="34.15" customHeight="1" x14ac:dyDescent="0.35">
      <c r="A42" s="83" t="s">
        <v>192</v>
      </c>
      <c r="B42" s="81">
        <v>1.98</v>
      </c>
      <c r="C42" s="81">
        <v>0.14399999999999999</v>
      </c>
      <c r="D42" s="82">
        <v>1355.8</v>
      </c>
      <c r="E42" s="82">
        <v>1378.9</v>
      </c>
      <c r="F42" s="77">
        <v>2.95</v>
      </c>
      <c r="G42" s="78">
        <v>3.3929999999999998</v>
      </c>
      <c r="H42" s="82">
        <f t="shared" si="3"/>
        <v>6763010414.2525578</v>
      </c>
      <c r="I42" s="98">
        <f t="shared" ref="I42:I49" si="4">C42*E42*$F$60*G42</f>
        <v>652665774.14999998</v>
      </c>
    </row>
    <row r="43" spans="1:9" ht="52.9" customHeight="1" x14ac:dyDescent="0.35">
      <c r="A43" s="83" t="s">
        <v>193</v>
      </c>
      <c r="B43" s="81">
        <v>0.56000000000000005</v>
      </c>
      <c r="C43" s="81"/>
      <c r="D43" s="82">
        <v>619.6</v>
      </c>
      <c r="E43" s="82"/>
      <c r="F43" s="77">
        <v>2.95</v>
      </c>
      <c r="G43" s="78">
        <v>3.3929999999999998</v>
      </c>
      <c r="H43" s="82">
        <f t="shared" si="3"/>
        <v>874135327.86773777</v>
      </c>
      <c r="I43" s="98">
        <f t="shared" si="4"/>
        <v>0</v>
      </c>
    </row>
    <row r="44" spans="1:9" ht="34.15" customHeight="1" x14ac:dyDescent="0.35">
      <c r="A44" s="83" t="s">
        <v>194</v>
      </c>
      <c r="B44" s="81">
        <v>0.06</v>
      </c>
      <c r="C44" s="81">
        <v>4.0000000000000001E-3</v>
      </c>
      <c r="D44" s="82">
        <v>15870.3</v>
      </c>
      <c r="E44" s="82">
        <v>14082.9</v>
      </c>
      <c r="F44" s="77">
        <v>2.95</v>
      </c>
      <c r="G44" s="78">
        <v>3.3929999999999998</v>
      </c>
      <c r="H44" s="82">
        <f t="shared" si="3"/>
        <v>2398919215.2528167</v>
      </c>
      <c r="I44" s="98">
        <f t="shared" si="4"/>
        <v>185160208.83749998</v>
      </c>
    </row>
    <row r="45" spans="1:9" ht="34.15" customHeight="1" x14ac:dyDescent="0.35">
      <c r="A45" s="83" t="s">
        <v>195</v>
      </c>
      <c r="B45" s="84">
        <v>0.17235</v>
      </c>
      <c r="C45" s="159">
        <v>1.46E-2</v>
      </c>
      <c r="D45" s="82">
        <v>32514.2</v>
      </c>
      <c r="E45" s="82">
        <v>81569.399999999994</v>
      </c>
      <c r="F45" s="77">
        <v>2.95</v>
      </c>
      <c r="G45" s="78">
        <v>3.3929999999999998</v>
      </c>
      <c r="H45" s="82">
        <f t="shared" si="3"/>
        <v>14117688556.881493</v>
      </c>
      <c r="I45" s="98">
        <f t="shared" si="4"/>
        <v>3914494603.841249</v>
      </c>
    </row>
    <row r="46" spans="1:9" ht="34.15" customHeight="1" x14ac:dyDescent="0.35">
      <c r="A46" s="83" t="s">
        <v>196</v>
      </c>
      <c r="B46" s="81">
        <v>7.0000000000000007E-2</v>
      </c>
      <c r="C46" s="81"/>
      <c r="D46" s="82">
        <v>2528.9</v>
      </c>
      <c r="E46" s="82"/>
      <c r="F46" s="77">
        <v>2.95</v>
      </c>
      <c r="G46" s="78">
        <v>3.3929999999999998</v>
      </c>
      <c r="H46" s="82">
        <f t="shared" si="3"/>
        <v>445973376.09843493</v>
      </c>
      <c r="I46" s="98">
        <f t="shared" si="4"/>
        <v>0</v>
      </c>
    </row>
    <row r="47" spans="1:9" ht="34.15" customHeight="1" x14ac:dyDescent="0.35">
      <c r="A47" s="83" t="s">
        <v>197</v>
      </c>
      <c r="B47" s="81">
        <v>1.7000000000000001E-2</v>
      </c>
      <c r="C47" s="81"/>
      <c r="D47" s="82">
        <v>2528.9</v>
      </c>
      <c r="E47" s="82"/>
      <c r="F47" s="77">
        <v>2.95</v>
      </c>
      <c r="G47" s="78">
        <v>3.3929999999999998</v>
      </c>
      <c r="H47" s="82">
        <f t="shared" si="3"/>
        <v>108307819.9096199</v>
      </c>
      <c r="I47" s="98">
        <f t="shared" si="4"/>
        <v>0</v>
      </c>
    </row>
    <row r="48" spans="1:9" ht="34.15" customHeight="1" x14ac:dyDescent="0.35">
      <c r="A48" s="83" t="s">
        <v>198</v>
      </c>
      <c r="B48" s="81"/>
      <c r="C48" s="81">
        <v>9.1999999999999998E-2</v>
      </c>
      <c r="D48" s="82"/>
      <c r="E48" s="82">
        <v>2183.8000000000002</v>
      </c>
      <c r="F48" s="77">
        <v>2.95</v>
      </c>
      <c r="G48" s="78">
        <v>3.3929999999999998</v>
      </c>
      <c r="H48" s="82">
        <f t="shared" si="3"/>
        <v>0</v>
      </c>
      <c r="I48" s="98">
        <f t="shared" si="4"/>
        <v>660383576.77499998</v>
      </c>
    </row>
    <row r="49" spans="1:9" ht="34.15" customHeight="1" x14ac:dyDescent="0.35">
      <c r="A49" s="83" t="s">
        <v>214</v>
      </c>
      <c r="B49" s="86"/>
      <c r="C49" s="86">
        <v>1.0999999999999999E-2</v>
      </c>
      <c r="D49" s="87"/>
      <c r="E49" s="87">
        <v>738.39</v>
      </c>
      <c r="F49" s="77">
        <v>2.95</v>
      </c>
      <c r="G49" s="78">
        <v>3.3929999999999998</v>
      </c>
      <c r="H49" s="87"/>
      <c r="I49" s="99">
        <f t="shared" si="4"/>
        <v>26697713.408437498</v>
      </c>
    </row>
    <row r="50" spans="1:9" ht="34.15" customHeight="1" thickBot="1" x14ac:dyDescent="0.4">
      <c r="A50" s="85" t="s">
        <v>199</v>
      </c>
      <c r="B50" s="86"/>
      <c r="C50" s="86"/>
      <c r="D50" s="87"/>
      <c r="E50" s="87"/>
      <c r="F50" s="77">
        <v>2.95</v>
      </c>
      <c r="G50" s="78">
        <v>3.3929999999999998</v>
      </c>
      <c r="H50" s="87">
        <f>B50*D50*979661*2.5716</f>
        <v>0</v>
      </c>
      <c r="I50" s="99">
        <f>261011*1000</f>
        <v>261011000</v>
      </c>
    </row>
    <row r="51" spans="1:9" ht="45.65" customHeight="1" thickBot="1" x14ac:dyDescent="0.4">
      <c r="A51" s="88" t="s">
        <v>200</v>
      </c>
      <c r="B51" s="89"/>
      <c r="C51" s="90"/>
      <c r="D51" s="91"/>
      <c r="E51" s="91"/>
      <c r="F51" s="91"/>
      <c r="G51" s="92"/>
      <c r="H51" s="93">
        <f>H40+H41+H42+H43+H44+H45+H48+H50</f>
        <v>28826216648.697495</v>
      </c>
      <c r="I51" s="94">
        <f>SUM(I40:I50)</f>
        <v>7607707784.6684361</v>
      </c>
    </row>
    <row r="52" spans="1:9" ht="34.15" customHeight="1" x14ac:dyDescent="0.3"/>
    <row r="53" spans="1:9" ht="34.15" customHeight="1" x14ac:dyDescent="0.3"/>
    <row r="54" spans="1:9" ht="34.15" customHeight="1" x14ac:dyDescent="0.3">
      <c r="A54" s="366"/>
      <c r="B54" s="366"/>
      <c r="C54" s="366"/>
      <c r="D54" s="366"/>
      <c r="E54" s="366"/>
      <c r="F54" s="366"/>
      <c r="G54" s="366"/>
      <c r="H54" s="366"/>
      <c r="I54" s="366"/>
    </row>
    <row r="55" spans="1:9" ht="34.15" customHeight="1" x14ac:dyDescent="0.35">
      <c r="A55" s="367" t="s">
        <v>203</v>
      </c>
      <c r="B55" s="368"/>
      <c r="C55" s="368"/>
      <c r="D55" s="368"/>
      <c r="E55" s="368"/>
      <c r="F55" s="368"/>
      <c r="G55" s="368"/>
      <c r="H55" s="369"/>
      <c r="I55" s="100"/>
    </row>
    <row r="56" spans="1:9" ht="51" customHeight="1" x14ac:dyDescent="0.35">
      <c r="A56" s="373"/>
      <c r="B56" s="374" t="s">
        <v>204</v>
      </c>
      <c r="C56" s="374"/>
      <c r="D56" s="374" t="s">
        <v>205</v>
      </c>
      <c r="E56" s="374" t="s">
        <v>206</v>
      </c>
      <c r="F56" s="374"/>
      <c r="G56" s="374" t="s">
        <v>207</v>
      </c>
      <c r="H56" s="374"/>
      <c r="I56" s="101"/>
    </row>
    <row r="57" spans="1:9" ht="34.15" customHeight="1" x14ac:dyDescent="0.35">
      <c r="A57" s="373"/>
      <c r="B57" s="102" t="s">
        <v>187</v>
      </c>
      <c r="C57" s="103" t="s">
        <v>188</v>
      </c>
      <c r="D57" s="374"/>
      <c r="E57" s="104" t="s">
        <v>187</v>
      </c>
      <c r="F57" s="104" t="s">
        <v>188</v>
      </c>
      <c r="G57" s="103" t="s">
        <v>187</v>
      </c>
      <c r="H57" s="103" t="s">
        <v>188</v>
      </c>
      <c r="I57" s="105"/>
    </row>
    <row r="58" spans="1:9" ht="34.15" customHeight="1" x14ac:dyDescent="0.35">
      <c r="A58" s="106" t="s">
        <v>208</v>
      </c>
      <c r="B58" s="107">
        <v>11800.2</v>
      </c>
      <c r="C58" s="107">
        <v>3488.6</v>
      </c>
      <c r="D58" s="108">
        <v>3.3929999999999998</v>
      </c>
      <c r="E58" s="109">
        <v>974393</v>
      </c>
      <c r="F58" s="110">
        <v>965919</v>
      </c>
      <c r="G58" s="111">
        <f>B58*D58*E58</f>
        <v>39012823521.289803</v>
      </c>
      <c r="H58" s="112">
        <f>C58*D58*F58</f>
        <v>11433409144.3962</v>
      </c>
      <c r="I58" s="113" t="e">
        <f>#REF!*1000-H58</f>
        <v>#REF!</v>
      </c>
    </row>
    <row r="59" spans="1:9" ht="34.15" customHeight="1" x14ac:dyDescent="0.35">
      <c r="A59" s="114" t="s">
        <v>209</v>
      </c>
      <c r="B59" s="107">
        <v>12696.9</v>
      </c>
      <c r="C59" s="107">
        <v>3621.1</v>
      </c>
      <c r="D59" s="108">
        <v>3.3929999999999998</v>
      </c>
      <c r="E59" s="109">
        <v>974393</v>
      </c>
      <c r="F59" s="110">
        <v>967236</v>
      </c>
      <c r="G59" s="111">
        <f>B59*D59*E59</f>
        <v>41977417244.408096</v>
      </c>
      <c r="H59" s="112">
        <f>C59*D59*F59</f>
        <v>11883840942.6828</v>
      </c>
      <c r="I59" s="113">
        <f>прил7!K108*1000-Прочие!H59</f>
        <v>-2310432042.6828022</v>
      </c>
    </row>
    <row r="60" spans="1:9" ht="34.15" customHeight="1" x14ac:dyDescent="0.35">
      <c r="A60" s="106" t="s">
        <v>210</v>
      </c>
      <c r="B60" s="107">
        <v>13531.4</v>
      </c>
      <c r="C60" s="107">
        <v>3765.9</v>
      </c>
      <c r="D60" s="108">
        <v>3.3929999999999998</v>
      </c>
      <c r="E60" s="109">
        <v>974393</v>
      </c>
      <c r="F60" s="110">
        <v>968750</v>
      </c>
      <c r="G60" s="111">
        <f>B60*D60*E60</f>
        <v>44736370586.598595</v>
      </c>
      <c r="H60" s="112">
        <f>C60*D60*F60</f>
        <v>12378395615.624998</v>
      </c>
      <c r="I60" s="113">
        <f>прил8!K108*1000-Прочие!H60</f>
        <v>-3396969615.6249981</v>
      </c>
    </row>
    <row r="61" spans="1:9" ht="34.15" customHeight="1" x14ac:dyDescent="0.35">
      <c r="A61" s="115"/>
      <c r="B61" s="116"/>
      <c r="C61" s="102"/>
      <c r="D61" s="117"/>
      <c r="E61" s="117"/>
      <c r="F61" s="118"/>
      <c r="G61" s="119"/>
      <c r="H61" s="120"/>
      <c r="I61" s="113"/>
    </row>
    <row r="62" spans="1:9" ht="59.25" customHeight="1" x14ac:dyDescent="0.35">
      <c r="A62" s="115"/>
      <c r="B62" s="121"/>
      <c r="C62" s="122"/>
      <c r="D62" s="123"/>
      <c r="E62" s="124"/>
      <c r="F62" s="124"/>
      <c r="G62" s="103" t="s">
        <v>187</v>
      </c>
      <c r="H62" s="103" t="s">
        <v>188</v>
      </c>
      <c r="I62" s="125"/>
    </row>
    <row r="63" spans="1:9" s="131" customFormat="1" ht="54" customHeight="1" x14ac:dyDescent="0.35">
      <c r="A63" s="126" t="s">
        <v>4</v>
      </c>
      <c r="B63" s="370" t="s">
        <v>211</v>
      </c>
      <c r="C63" s="371"/>
      <c r="D63" s="127"/>
      <c r="E63" s="128"/>
      <c r="F63" s="129"/>
      <c r="G63" s="130">
        <f>G58-H17</f>
        <v>5918252203.1848679</v>
      </c>
      <c r="H63" s="130">
        <f>H58-I17-35000000+626811077.32+359.71</f>
        <v>4758405275.9552059</v>
      </c>
      <c r="I63" s="160"/>
    </row>
    <row r="64" spans="1:9" s="131" customFormat="1" ht="54" customHeight="1" x14ac:dyDescent="0.35">
      <c r="A64" s="126" t="s">
        <v>1</v>
      </c>
      <c r="B64" s="370" t="s">
        <v>211</v>
      </c>
      <c r="C64" s="371"/>
      <c r="D64" s="127"/>
      <c r="E64" s="128"/>
      <c r="F64" s="129"/>
      <c r="G64" s="130">
        <f>G59-H34</f>
        <v>5433823995.3282776</v>
      </c>
      <c r="H64" s="130">
        <f>H59-I34-20000000+655571818.13</f>
        <v>5178794875.6959267</v>
      </c>
      <c r="I64" s="161"/>
    </row>
    <row r="65" spans="1:9" s="131" customFormat="1" ht="54" customHeight="1" x14ac:dyDescent="0.35">
      <c r="A65" s="126" t="s">
        <v>118</v>
      </c>
      <c r="B65" s="370" t="s">
        <v>211</v>
      </c>
      <c r="C65" s="371"/>
      <c r="D65" s="127"/>
      <c r="E65" s="128"/>
      <c r="F65" s="129"/>
      <c r="G65" s="130">
        <f>G60-H51</f>
        <v>15910153937.9011</v>
      </c>
      <c r="H65" s="130">
        <f>H60-I51-15000000+687081323.05-32.87</f>
        <v>5442769121.1365623</v>
      </c>
      <c r="I65" s="162"/>
    </row>
    <row r="66" spans="1:9" ht="34.15" customHeight="1" x14ac:dyDescent="0.35">
      <c r="A66" s="132"/>
      <c r="B66" s="133"/>
      <c r="C66" s="132"/>
      <c r="D66" s="134"/>
      <c r="E66" s="134"/>
      <c r="F66" s="135"/>
      <c r="G66" s="134"/>
      <c r="H66" s="134"/>
    </row>
    <row r="67" spans="1:9" ht="34.15" customHeight="1" x14ac:dyDescent="0.35">
      <c r="A67" s="132"/>
      <c r="B67" s="136"/>
      <c r="C67" s="132"/>
      <c r="D67" s="134"/>
      <c r="E67" s="134"/>
      <c r="F67" s="135"/>
      <c r="G67" s="134"/>
      <c r="H67" s="134"/>
    </row>
    <row r="68" spans="1:9" ht="34.15" customHeight="1" x14ac:dyDescent="0.4">
      <c r="A68" s="132"/>
      <c r="B68" s="137"/>
      <c r="C68" s="138"/>
      <c r="D68" s="134"/>
      <c r="E68" s="134"/>
      <c r="F68" s="135"/>
      <c r="G68" s="134"/>
      <c r="H68" s="134"/>
    </row>
    <row r="69" spans="1:9" ht="34.15" customHeight="1" x14ac:dyDescent="0.35">
      <c r="A69" s="132"/>
      <c r="B69" s="139"/>
      <c r="C69" s="134"/>
      <c r="D69" s="134"/>
      <c r="E69" s="134"/>
      <c r="F69" s="135"/>
      <c r="G69" s="134"/>
      <c r="H69" s="134"/>
    </row>
    <row r="70" spans="1:9" ht="34.15" customHeight="1" x14ac:dyDescent="0.4">
      <c r="A70" s="140"/>
      <c r="B70" s="141"/>
      <c r="C70" s="135"/>
      <c r="D70" s="134"/>
      <c r="E70" s="134"/>
      <c r="F70" s="135"/>
      <c r="G70" s="134"/>
      <c r="H70" s="134"/>
    </row>
    <row r="71" spans="1:9" ht="34.15" customHeight="1" x14ac:dyDescent="0.35">
      <c r="A71" s="132"/>
      <c r="B71" s="133"/>
      <c r="C71" s="142"/>
      <c r="D71" s="134"/>
      <c r="E71" s="134"/>
      <c r="F71" s="135"/>
      <c r="G71" s="134"/>
      <c r="H71" s="134"/>
    </row>
    <row r="72" spans="1:9" ht="34.15" customHeight="1" x14ac:dyDescent="0.35">
      <c r="A72" s="132"/>
      <c r="B72" s="136"/>
      <c r="C72" s="142"/>
      <c r="D72" s="134"/>
      <c r="E72" s="134"/>
      <c r="F72" s="135"/>
      <c r="G72" s="134"/>
      <c r="H72" s="134"/>
    </row>
    <row r="73" spans="1:9" ht="34.15" customHeight="1" x14ac:dyDescent="0.4">
      <c r="A73" s="132"/>
      <c r="B73" s="137"/>
      <c r="C73" s="134"/>
      <c r="D73" s="134"/>
      <c r="E73" s="134"/>
      <c r="F73" s="135"/>
      <c r="G73" s="134"/>
      <c r="H73" s="134"/>
    </row>
    <row r="74" spans="1:9" ht="34.15" customHeight="1" x14ac:dyDescent="0.35">
      <c r="A74" s="132"/>
      <c r="B74" s="139"/>
      <c r="C74" s="134"/>
      <c r="D74" s="134"/>
      <c r="E74" s="134"/>
      <c r="F74" s="135"/>
      <c r="G74" s="134"/>
      <c r="H74" s="134"/>
    </row>
    <row r="75" spans="1:9" ht="34.15" customHeight="1" x14ac:dyDescent="0.35">
      <c r="A75" s="134"/>
      <c r="B75" s="139"/>
      <c r="C75" s="134"/>
      <c r="D75" s="134"/>
      <c r="E75" s="134"/>
      <c r="F75" s="135"/>
      <c r="G75" s="134"/>
      <c r="H75" s="134"/>
    </row>
    <row r="76" spans="1:9" ht="34.15" customHeight="1" x14ac:dyDescent="0.35">
      <c r="A76" s="134"/>
      <c r="B76" s="141"/>
      <c r="C76" s="135"/>
      <c r="D76" s="134"/>
      <c r="E76" s="134"/>
      <c r="F76" s="135"/>
      <c r="G76" s="134"/>
      <c r="H76" s="134"/>
    </row>
    <row r="77" spans="1:9" ht="34.15" customHeight="1" x14ac:dyDescent="0.35">
      <c r="A77" s="132"/>
      <c r="B77" s="133"/>
      <c r="C77" s="142"/>
      <c r="D77" s="134"/>
      <c r="E77" s="134"/>
      <c r="F77" s="135"/>
      <c r="G77" s="134"/>
      <c r="H77" s="134"/>
    </row>
    <row r="78" spans="1:9" ht="34.15" customHeight="1" x14ac:dyDescent="0.45">
      <c r="A78" s="132"/>
      <c r="B78" s="136"/>
      <c r="C78" s="142"/>
      <c r="D78" s="134"/>
      <c r="E78" s="134"/>
      <c r="F78" s="135"/>
      <c r="G78" s="134"/>
      <c r="H78" s="143"/>
      <c r="I78" s="2">
        <v>609939211.74000001</v>
      </c>
    </row>
    <row r="79" spans="1:9" ht="34.15" customHeight="1" x14ac:dyDescent="0.45">
      <c r="A79" s="132"/>
      <c r="B79" s="138"/>
      <c r="C79" s="134"/>
      <c r="D79" s="134"/>
      <c r="E79" s="134"/>
      <c r="F79" s="135"/>
      <c r="G79" s="134"/>
      <c r="H79" s="143"/>
    </row>
    <row r="80" spans="1:9" ht="34.15" customHeight="1" x14ac:dyDescent="0.45">
      <c r="A80" s="132"/>
      <c r="B80" s="139"/>
      <c r="C80" s="134"/>
      <c r="D80" s="134"/>
      <c r="E80" s="134"/>
      <c r="F80" s="135"/>
      <c r="G80" s="134"/>
      <c r="H80" s="143"/>
    </row>
    <row r="81" spans="1:8" ht="34.15" customHeight="1" x14ac:dyDescent="0.45">
      <c r="A81" s="134"/>
      <c r="B81" s="139"/>
      <c r="C81" s="134"/>
      <c r="D81" s="134"/>
      <c r="E81" s="134"/>
      <c r="F81" s="135"/>
      <c r="G81" s="134"/>
      <c r="H81" s="143"/>
    </row>
    <row r="82" spans="1:8" ht="34.15" customHeight="1" x14ac:dyDescent="0.45">
      <c r="A82" s="134"/>
      <c r="B82" s="139"/>
      <c r="C82" s="134"/>
      <c r="D82" s="134"/>
      <c r="E82" s="134"/>
      <c r="F82" s="135"/>
      <c r="G82" s="134"/>
      <c r="H82" s="143"/>
    </row>
    <row r="83" spans="1:8" ht="34.15" customHeight="1" x14ac:dyDescent="0.45">
      <c r="A83" s="134"/>
      <c r="B83" s="139"/>
      <c r="C83" s="134"/>
      <c r="D83" s="134"/>
      <c r="E83" s="134"/>
      <c r="F83" s="135"/>
      <c r="G83" s="134"/>
      <c r="H83" s="143"/>
    </row>
    <row r="84" spans="1:8" ht="34.15" customHeight="1" x14ac:dyDescent="0.45">
      <c r="A84" s="134"/>
      <c r="B84" s="141"/>
      <c r="C84" s="135"/>
      <c r="D84" s="134"/>
      <c r="E84" s="134"/>
      <c r="F84" s="135"/>
      <c r="G84" s="134"/>
      <c r="H84" s="143"/>
    </row>
    <row r="85" spans="1:8" ht="34.15" customHeight="1" x14ac:dyDescent="0.45">
      <c r="A85" s="134"/>
      <c r="B85" s="143"/>
      <c r="C85" s="143"/>
      <c r="D85" s="134"/>
      <c r="E85" s="134"/>
      <c r="F85" s="135"/>
      <c r="G85" s="134"/>
      <c r="H85" s="143"/>
    </row>
    <row r="86" spans="1:8" ht="34.15" customHeight="1" x14ac:dyDescent="0.45">
      <c r="A86" s="132"/>
      <c r="B86" s="133"/>
      <c r="C86" s="144"/>
      <c r="D86" s="134"/>
      <c r="E86" s="134"/>
      <c r="F86" s="135"/>
      <c r="G86" s="134"/>
      <c r="H86" s="143"/>
    </row>
    <row r="87" spans="1:8" ht="34.15" customHeight="1" x14ac:dyDescent="0.45">
      <c r="A87" s="132"/>
      <c r="B87" s="137"/>
      <c r="C87" s="134"/>
      <c r="D87" s="134"/>
      <c r="E87" s="134"/>
      <c r="F87" s="135"/>
      <c r="G87" s="134"/>
      <c r="H87" s="143"/>
    </row>
    <row r="88" spans="1:8" ht="34.15" customHeight="1" x14ac:dyDescent="0.45">
      <c r="A88" s="132"/>
      <c r="B88" s="137"/>
      <c r="C88" s="134"/>
      <c r="D88" s="134"/>
      <c r="E88" s="134"/>
      <c r="F88" s="135"/>
      <c r="G88" s="134"/>
      <c r="H88" s="143"/>
    </row>
    <row r="89" spans="1:8" ht="34.15" customHeight="1" x14ac:dyDescent="0.45">
      <c r="A89" s="132"/>
      <c r="B89" s="139"/>
      <c r="C89" s="134"/>
      <c r="D89" s="134"/>
      <c r="E89" s="134"/>
      <c r="F89" s="135"/>
      <c r="G89" s="134"/>
      <c r="H89" s="143"/>
    </row>
    <row r="90" spans="1:8" ht="34.15" customHeight="1" x14ac:dyDescent="0.45">
      <c r="A90" s="134"/>
      <c r="B90" s="139"/>
      <c r="C90" s="134"/>
      <c r="D90" s="134"/>
      <c r="E90" s="134"/>
      <c r="F90" s="135"/>
      <c r="G90" s="134"/>
      <c r="H90" s="143"/>
    </row>
    <row r="91" spans="1:8" ht="34.15" customHeight="1" x14ac:dyDescent="0.45">
      <c r="A91" s="372"/>
      <c r="B91" s="145"/>
      <c r="C91" s="143"/>
      <c r="D91" s="143"/>
      <c r="E91" s="143"/>
      <c r="F91" s="146"/>
      <c r="G91" s="143"/>
      <c r="H91" s="143"/>
    </row>
    <row r="92" spans="1:8" ht="34.15" customHeight="1" x14ac:dyDescent="0.45">
      <c r="A92" s="372"/>
      <c r="B92" s="145"/>
      <c r="C92" s="143"/>
      <c r="D92" s="143"/>
      <c r="E92" s="143"/>
      <c r="F92" s="146"/>
      <c r="G92" s="143"/>
      <c r="H92" s="143"/>
    </row>
    <row r="93" spans="1:8" ht="34.15" customHeight="1" x14ac:dyDescent="0.45">
      <c r="A93" s="132"/>
      <c r="B93" s="133"/>
      <c r="C93" s="133"/>
      <c r="D93" s="143"/>
      <c r="E93" s="143"/>
      <c r="F93" s="146"/>
      <c r="G93" s="143"/>
      <c r="H93" s="143"/>
    </row>
    <row r="94" spans="1:8" ht="34.15" customHeight="1" x14ac:dyDescent="0.45">
      <c r="A94" s="132"/>
      <c r="B94" s="137"/>
      <c r="C94" s="138"/>
      <c r="D94" s="143"/>
      <c r="E94" s="143"/>
      <c r="F94" s="146"/>
      <c r="G94" s="143"/>
      <c r="H94" s="143"/>
    </row>
    <row r="95" spans="1:8" ht="34.15" customHeight="1" x14ac:dyDescent="0.45">
      <c r="A95" s="132"/>
      <c r="B95" s="147"/>
      <c r="C95" s="148"/>
      <c r="D95" s="143"/>
      <c r="E95" s="143"/>
      <c r="F95" s="146"/>
      <c r="G95" s="143"/>
      <c r="H95" s="143"/>
    </row>
    <row r="96" spans="1:8" ht="34.15" customHeight="1" x14ac:dyDescent="0.45">
      <c r="A96" s="132"/>
      <c r="B96" s="145"/>
      <c r="C96" s="143"/>
      <c r="D96" s="143"/>
      <c r="E96" s="143"/>
      <c r="F96" s="146"/>
      <c r="G96" s="143"/>
      <c r="H96" s="143"/>
    </row>
    <row r="97" spans="1:8" ht="34.15" customHeight="1" x14ac:dyDescent="0.45">
      <c r="A97" s="143"/>
      <c r="B97" s="145"/>
      <c r="C97" s="143"/>
      <c r="D97" s="143"/>
      <c r="E97" s="143"/>
      <c r="F97" s="146"/>
      <c r="G97" s="143"/>
      <c r="H97" s="143"/>
    </row>
    <row r="98" spans="1:8" ht="34.15" customHeight="1" x14ac:dyDescent="0.45">
      <c r="A98" s="149"/>
      <c r="B98" s="145"/>
      <c r="C98" s="143"/>
      <c r="D98" s="143"/>
      <c r="E98" s="143"/>
      <c r="F98" s="146"/>
      <c r="G98" s="143"/>
      <c r="H98" s="143"/>
    </row>
    <row r="99" spans="1:8" ht="34.15" customHeight="1" x14ac:dyDescent="0.45">
      <c r="A99" s="132"/>
      <c r="B99" s="133"/>
      <c r="C99" s="133"/>
      <c r="D99" s="143"/>
      <c r="E99" s="143"/>
      <c r="F99" s="146"/>
      <c r="G99" s="143"/>
      <c r="H99" s="143"/>
    </row>
    <row r="100" spans="1:8" ht="34.15" customHeight="1" x14ac:dyDescent="0.45">
      <c r="A100" s="132"/>
      <c r="B100" s="137"/>
      <c r="C100" s="138"/>
      <c r="D100" s="143"/>
      <c r="E100" s="143"/>
      <c r="F100" s="146"/>
      <c r="G100" s="143"/>
      <c r="H100" s="143"/>
    </row>
    <row r="101" spans="1:8" ht="34.15" customHeight="1" x14ac:dyDescent="0.45">
      <c r="A101" s="132"/>
      <c r="B101" s="147"/>
      <c r="C101" s="148"/>
      <c r="D101" s="143"/>
      <c r="E101" s="143"/>
      <c r="F101" s="146"/>
      <c r="G101" s="143"/>
      <c r="H101" s="143"/>
    </row>
    <row r="102" spans="1:8" ht="34.15" customHeight="1" x14ac:dyDescent="0.45">
      <c r="A102" s="132"/>
      <c r="B102" s="145"/>
      <c r="C102" s="143"/>
      <c r="D102" s="143"/>
      <c r="E102" s="143"/>
      <c r="F102" s="146"/>
      <c r="G102" s="143"/>
      <c r="H102" s="143"/>
    </row>
    <row r="103" spans="1:8" ht="34.15" customHeight="1" x14ac:dyDescent="0.45">
      <c r="A103" s="143"/>
      <c r="B103" s="145"/>
      <c r="C103" s="143"/>
      <c r="D103" s="143"/>
      <c r="E103" s="143"/>
      <c r="F103" s="146"/>
      <c r="G103" s="143"/>
      <c r="H103" s="143"/>
    </row>
    <row r="104" spans="1:8" ht="34.15" customHeight="1" x14ac:dyDescent="0.45">
      <c r="A104" s="150"/>
      <c r="B104" s="145"/>
      <c r="C104" s="143"/>
      <c r="D104" s="143"/>
      <c r="E104" s="143"/>
      <c r="F104" s="146"/>
      <c r="G104" s="143"/>
      <c r="H104" s="143"/>
    </row>
    <row r="105" spans="1:8" ht="34.15" customHeight="1" x14ac:dyDescent="0.45">
      <c r="A105" s="132"/>
      <c r="B105" s="133"/>
      <c r="C105" s="144"/>
      <c r="D105" s="143"/>
      <c r="E105" s="143"/>
      <c r="F105" s="146"/>
      <c r="G105" s="143"/>
      <c r="H105" s="143"/>
    </row>
    <row r="106" spans="1:8" ht="34.15" customHeight="1" x14ac:dyDescent="0.45">
      <c r="A106" s="132"/>
      <c r="B106" s="137"/>
      <c r="C106" s="134"/>
      <c r="D106" s="143"/>
      <c r="E106" s="143"/>
      <c r="F106" s="146"/>
      <c r="G106" s="143"/>
      <c r="H106" s="143"/>
    </row>
    <row r="107" spans="1:8" ht="34.15" customHeight="1" x14ac:dyDescent="0.45">
      <c r="A107" s="132"/>
      <c r="B107" s="147"/>
      <c r="C107" s="143"/>
      <c r="D107" s="143"/>
      <c r="E107" s="143"/>
      <c r="F107" s="146"/>
      <c r="G107" s="143"/>
      <c r="H107" s="143"/>
    </row>
    <row r="108" spans="1:8" ht="34.15" customHeight="1" x14ac:dyDescent="0.45">
      <c r="A108" s="132"/>
      <c r="B108" s="145"/>
      <c r="C108" s="143"/>
      <c r="D108" s="143"/>
      <c r="E108" s="143"/>
      <c r="F108" s="146"/>
      <c r="G108" s="143"/>
      <c r="H108" s="143"/>
    </row>
    <row r="109" spans="1:8" ht="34.15" customHeight="1" x14ac:dyDescent="0.45">
      <c r="A109" s="148"/>
      <c r="B109" s="145"/>
      <c r="C109" s="143"/>
      <c r="D109" s="143"/>
      <c r="E109" s="143"/>
      <c r="F109" s="146"/>
      <c r="G109" s="143"/>
      <c r="H109" s="143"/>
    </row>
    <row r="110" spans="1:8" ht="34.15" customHeight="1" x14ac:dyDescent="0.45">
      <c r="A110" s="142"/>
      <c r="B110" s="145"/>
      <c r="C110" s="143"/>
      <c r="D110" s="143"/>
      <c r="E110" s="143"/>
      <c r="F110" s="146"/>
      <c r="G110" s="143"/>
      <c r="H110" s="143"/>
    </row>
    <row r="111" spans="1:8" ht="34.15" customHeight="1" x14ac:dyDescent="0.45">
      <c r="A111" s="132"/>
      <c r="B111" s="133"/>
      <c r="C111" s="133"/>
      <c r="D111" s="143"/>
      <c r="E111" s="143"/>
      <c r="F111" s="146"/>
      <c r="G111" s="143"/>
      <c r="H111" s="143"/>
    </row>
    <row r="112" spans="1:8" ht="34.15" customHeight="1" x14ac:dyDescent="0.45">
      <c r="A112" s="132"/>
      <c r="B112" s="137"/>
      <c r="C112" s="138"/>
      <c r="D112" s="143"/>
      <c r="E112" s="143"/>
      <c r="F112" s="146"/>
      <c r="G112" s="143"/>
      <c r="H112" s="143"/>
    </row>
    <row r="113" spans="1:8" ht="34.15" customHeight="1" x14ac:dyDescent="0.45">
      <c r="A113" s="132"/>
      <c r="B113" s="147"/>
      <c r="C113" s="148"/>
      <c r="D113" s="143"/>
      <c r="E113" s="143"/>
      <c r="F113" s="146"/>
      <c r="G113" s="143"/>
      <c r="H113" s="143"/>
    </row>
    <row r="114" spans="1:8" ht="34.15" customHeight="1" x14ac:dyDescent="0.45">
      <c r="A114" s="132"/>
      <c r="B114" s="145"/>
      <c r="C114" s="143"/>
      <c r="D114" s="143"/>
      <c r="E114" s="143"/>
      <c r="F114" s="146"/>
      <c r="G114" s="143"/>
      <c r="H114" s="143"/>
    </row>
    <row r="115" spans="1:8" ht="34.15" customHeight="1" x14ac:dyDescent="0.45">
      <c r="A115" s="143"/>
      <c r="B115" s="145"/>
      <c r="C115" s="143"/>
      <c r="D115" s="143"/>
      <c r="E115" s="143"/>
      <c r="F115" s="146"/>
      <c r="G115" s="143"/>
      <c r="H115" s="143"/>
    </row>
    <row r="116" spans="1:8" ht="34.15" customHeight="1" x14ac:dyDescent="0.45">
      <c r="A116" s="142"/>
      <c r="B116" s="145"/>
      <c r="C116" s="143"/>
      <c r="D116" s="143"/>
      <c r="E116" s="143"/>
      <c r="F116" s="146"/>
      <c r="G116" s="143"/>
      <c r="H116" s="143"/>
    </row>
    <row r="117" spans="1:8" ht="34.15" customHeight="1" x14ac:dyDescent="0.45">
      <c r="A117" s="132"/>
      <c r="B117" s="133"/>
      <c r="C117" s="133"/>
      <c r="D117" s="143"/>
      <c r="E117" s="143"/>
      <c r="F117" s="146"/>
      <c r="G117" s="143"/>
      <c r="H117" s="143"/>
    </row>
    <row r="118" spans="1:8" ht="34.15" customHeight="1" x14ac:dyDescent="0.45">
      <c r="A118" s="132"/>
      <c r="B118" s="137"/>
      <c r="C118" s="138"/>
      <c r="D118" s="143"/>
      <c r="E118" s="143"/>
      <c r="F118" s="146"/>
      <c r="G118" s="143"/>
      <c r="H118" s="143"/>
    </row>
    <row r="119" spans="1:8" ht="34.15" customHeight="1" x14ac:dyDescent="0.45">
      <c r="A119" s="132"/>
      <c r="B119" s="147"/>
      <c r="C119" s="148"/>
      <c r="D119" s="143"/>
      <c r="E119" s="143"/>
      <c r="F119" s="146"/>
      <c r="G119" s="143"/>
      <c r="H119" s="143"/>
    </row>
    <row r="120" spans="1:8" ht="34.15" customHeight="1" x14ac:dyDescent="0.45">
      <c r="A120" s="132"/>
      <c r="B120" s="145"/>
      <c r="C120" s="143"/>
      <c r="D120" s="143"/>
      <c r="E120" s="143"/>
      <c r="F120" s="146"/>
      <c r="G120" s="143"/>
      <c r="H120" s="143"/>
    </row>
    <row r="121" spans="1:8" ht="34.15" customHeight="1" x14ac:dyDescent="0.45">
      <c r="A121" s="151"/>
      <c r="B121" s="145"/>
      <c r="C121" s="143"/>
      <c r="D121" s="143"/>
      <c r="E121" s="143"/>
      <c r="F121" s="146"/>
      <c r="G121" s="143"/>
      <c r="H121" s="143"/>
    </row>
    <row r="122" spans="1:8" ht="34.15" customHeight="1" x14ac:dyDescent="0.45">
      <c r="A122" s="132"/>
      <c r="B122" s="133"/>
      <c r="C122" s="144"/>
      <c r="D122" s="143"/>
      <c r="E122" s="143"/>
      <c r="F122" s="146"/>
      <c r="G122" s="143"/>
      <c r="H122" s="143"/>
    </row>
    <row r="123" spans="1:8" ht="34.15" customHeight="1" x14ac:dyDescent="0.45">
      <c r="A123" s="132"/>
      <c r="B123" s="137"/>
      <c r="C123" s="134"/>
      <c r="D123" s="143"/>
      <c r="E123" s="143"/>
      <c r="F123" s="146"/>
      <c r="G123" s="143"/>
      <c r="H123" s="143"/>
    </row>
    <row r="124" spans="1:8" ht="34.15" customHeight="1" x14ac:dyDescent="0.45">
      <c r="A124" s="132"/>
      <c r="B124" s="147"/>
      <c r="C124" s="143"/>
      <c r="D124" s="143"/>
      <c r="E124" s="143"/>
      <c r="F124" s="146"/>
      <c r="G124" s="143"/>
      <c r="H124" s="143"/>
    </row>
    <row r="125" spans="1:8" ht="34.15" customHeight="1" x14ac:dyDescent="0.45">
      <c r="A125" s="132"/>
      <c r="B125" s="145"/>
      <c r="C125" s="143"/>
      <c r="D125" s="143"/>
      <c r="E125" s="143"/>
      <c r="F125" s="146"/>
      <c r="G125" s="143"/>
      <c r="H125" s="143"/>
    </row>
    <row r="126" spans="1:8" ht="34.15" customHeight="1" x14ac:dyDescent="0.45">
      <c r="A126" s="143"/>
      <c r="B126" s="145"/>
      <c r="C126" s="143"/>
      <c r="D126" s="143"/>
      <c r="E126" s="143"/>
      <c r="F126" s="146"/>
      <c r="G126" s="143"/>
      <c r="H126" s="143"/>
    </row>
    <row r="127" spans="1:8" ht="34.15" customHeight="1" x14ac:dyDescent="0.45">
      <c r="A127" s="134"/>
      <c r="B127" s="145"/>
      <c r="C127" s="143"/>
      <c r="D127" s="143"/>
      <c r="E127" s="143"/>
      <c r="F127" s="146"/>
      <c r="G127" s="143"/>
      <c r="H127" s="143"/>
    </row>
    <row r="128" spans="1:8" ht="34.15" customHeight="1" x14ac:dyDescent="0.45">
      <c r="A128" s="132"/>
      <c r="B128" s="133"/>
      <c r="C128" s="144"/>
      <c r="D128" s="143"/>
      <c r="E128" s="143"/>
      <c r="F128" s="146"/>
      <c r="G128" s="143"/>
      <c r="H128" s="143"/>
    </row>
    <row r="129" spans="1:8" ht="34.15" customHeight="1" x14ac:dyDescent="0.45">
      <c r="A129" s="132"/>
      <c r="B129" s="137"/>
      <c r="C129" s="134"/>
      <c r="D129" s="143"/>
      <c r="E129" s="143"/>
      <c r="F129" s="146"/>
      <c r="G129" s="143"/>
      <c r="H129" s="143"/>
    </row>
    <row r="130" spans="1:8" ht="34.15" customHeight="1" x14ac:dyDescent="0.45">
      <c r="A130" s="132"/>
      <c r="B130" s="147"/>
      <c r="C130" s="143"/>
      <c r="D130" s="143"/>
      <c r="E130" s="143"/>
      <c r="F130" s="146"/>
      <c r="G130" s="143"/>
      <c r="H130" s="143"/>
    </row>
    <row r="131" spans="1:8" ht="34.15" customHeight="1" x14ac:dyDescent="0.45">
      <c r="A131" s="132"/>
      <c r="B131" s="145"/>
      <c r="C131" s="143"/>
      <c r="D131" s="143"/>
      <c r="E131" s="143"/>
      <c r="F131" s="146"/>
      <c r="G131" s="143"/>
      <c r="H131" s="143"/>
    </row>
    <row r="132" spans="1:8" ht="34.15" customHeight="1" x14ac:dyDescent="0.45">
      <c r="A132" s="143"/>
      <c r="B132" s="145"/>
      <c r="C132" s="143"/>
      <c r="D132" s="143"/>
      <c r="E132" s="143"/>
      <c r="F132" s="146"/>
      <c r="G132" s="143"/>
      <c r="H132" s="143"/>
    </row>
    <row r="133" spans="1:8" ht="34.15" customHeight="1" x14ac:dyDescent="0.45">
      <c r="A133" s="143"/>
      <c r="B133" s="145"/>
      <c r="C133" s="143"/>
      <c r="D133" s="143"/>
      <c r="E133" s="143"/>
      <c r="F133" s="146"/>
      <c r="G133" s="143"/>
      <c r="H133" s="143"/>
    </row>
    <row r="134" spans="1:8" ht="34.15" customHeight="1" x14ac:dyDescent="0.45">
      <c r="A134" s="143"/>
      <c r="B134" s="145"/>
      <c r="C134" s="143"/>
      <c r="D134" s="143"/>
      <c r="E134" s="143"/>
      <c r="F134" s="146"/>
      <c r="G134" s="143"/>
      <c r="H134" s="143"/>
    </row>
    <row r="135" spans="1:8" ht="34.15" customHeight="1" x14ac:dyDescent="0.45">
      <c r="A135" s="143"/>
      <c r="B135" s="152"/>
      <c r="C135" s="146"/>
      <c r="D135" s="143"/>
      <c r="E135" s="143"/>
      <c r="F135" s="146"/>
      <c r="G135" s="143"/>
      <c r="H135" s="143"/>
    </row>
    <row r="136" spans="1:8" ht="34.15" customHeight="1" x14ac:dyDescent="0.45">
      <c r="A136" s="134"/>
      <c r="B136" s="145"/>
      <c r="C136" s="143"/>
      <c r="D136" s="143"/>
      <c r="E136" s="143"/>
      <c r="F136" s="146"/>
      <c r="G136" s="143"/>
      <c r="H136" s="143"/>
    </row>
    <row r="137" spans="1:8" ht="34.15" customHeight="1" x14ac:dyDescent="0.45">
      <c r="A137" s="132"/>
      <c r="B137" s="153"/>
      <c r="C137" s="153"/>
      <c r="D137" s="143"/>
      <c r="E137" s="143"/>
      <c r="F137" s="146"/>
      <c r="G137" s="143"/>
      <c r="H137" s="143"/>
    </row>
    <row r="138" spans="1:8" ht="34.15" customHeight="1" x14ac:dyDescent="0.45">
      <c r="A138" s="132"/>
      <c r="B138" s="147"/>
      <c r="C138" s="148"/>
      <c r="D138" s="143"/>
      <c r="E138" s="143"/>
      <c r="F138" s="146"/>
      <c r="G138" s="143"/>
      <c r="H138" s="143"/>
    </row>
    <row r="139" spans="1:8" ht="34.15" customHeight="1" x14ac:dyDescent="0.45">
      <c r="A139" s="132"/>
      <c r="B139" s="147"/>
      <c r="C139" s="143"/>
      <c r="D139" s="143"/>
      <c r="E139" s="143"/>
      <c r="F139" s="146"/>
      <c r="G139" s="143"/>
      <c r="H139" s="143"/>
    </row>
    <row r="140" spans="1:8" ht="34.15" customHeight="1" x14ac:dyDescent="0.45">
      <c r="A140" s="132"/>
      <c r="B140" s="145"/>
      <c r="C140" s="143"/>
      <c r="D140" s="143"/>
      <c r="E140" s="143"/>
      <c r="F140" s="146"/>
      <c r="G140" s="143"/>
      <c r="H140" s="143"/>
    </row>
    <row r="141" spans="1:8" ht="34.15" customHeight="1" x14ac:dyDescent="0.45">
      <c r="A141" s="134"/>
      <c r="B141" s="145"/>
      <c r="C141" s="143"/>
      <c r="D141" s="143"/>
      <c r="E141" s="143"/>
      <c r="F141" s="146"/>
      <c r="G141" s="143"/>
      <c r="H141" s="143"/>
    </row>
    <row r="142" spans="1:8" ht="34.15" customHeight="1" x14ac:dyDescent="0.45">
      <c r="A142" s="372"/>
      <c r="B142" s="145"/>
      <c r="C142" s="143"/>
      <c r="D142" s="143"/>
      <c r="E142" s="143"/>
      <c r="F142" s="146"/>
      <c r="G142" s="143"/>
      <c r="H142" s="143"/>
    </row>
    <row r="143" spans="1:8" ht="34.15" customHeight="1" x14ac:dyDescent="0.45">
      <c r="A143" s="372"/>
      <c r="B143" s="145"/>
      <c r="C143" s="143"/>
      <c r="D143" s="143"/>
      <c r="E143" s="143"/>
      <c r="F143" s="146"/>
      <c r="G143" s="143"/>
      <c r="H143" s="143"/>
    </row>
    <row r="144" spans="1:8" ht="34.15" customHeight="1" x14ac:dyDescent="0.45">
      <c r="A144" s="132"/>
      <c r="B144" s="153"/>
      <c r="C144" s="153"/>
      <c r="D144" s="143"/>
      <c r="E144" s="143"/>
      <c r="F144" s="146"/>
      <c r="G144" s="143"/>
      <c r="H144" s="143"/>
    </row>
    <row r="145" spans="1:8" ht="34.15" customHeight="1" x14ac:dyDescent="0.45">
      <c r="A145" s="132"/>
      <c r="B145" s="147"/>
      <c r="C145" s="148"/>
      <c r="D145" s="143"/>
      <c r="E145" s="143"/>
      <c r="F145" s="146"/>
      <c r="G145" s="143"/>
      <c r="H145" s="143"/>
    </row>
    <row r="146" spans="1:8" ht="34.15" customHeight="1" x14ac:dyDescent="0.45">
      <c r="A146" s="132"/>
      <c r="B146" s="147"/>
      <c r="C146" s="148"/>
      <c r="D146" s="143"/>
      <c r="E146" s="143"/>
      <c r="F146" s="146"/>
      <c r="G146" s="143"/>
      <c r="H146" s="143"/>
    </row>
    <row r="147" spans="1:8" ht="34.15" customHeight="1" x14ac:dyDescent="0.45">
      <c r="A147" s="132"/>
      <c r="B147" s="145"/>
      <c r="C147" s="154"/>
      <c r="D147" s="143"/>
      <c r="E147" s="143"/>
      <c r="F147" s="146"/>
      <c r="G147" s="143"/>
      <c r="H147" s="143"/>
    </row>
    <row r="148" spans="1:8" ht="34.15" customHeight="1" x14ac:dyDescent="0.45">
      <c r="A148" s="143"/>
      <c r="B148" s="145"/>
      <c r="C148" s="143"/>
      <c r="D148" s="143"/>
      <c r="E148" s="143"/>
      <c r="F148" s="146"/>
      <c r="G148" s="143"/>
      <c r="H148" s="143"/>
    </row>
    <row r="149" spans="1:8" ht="34.15" customHeight="1" x14ac:dyDescent="0.45">
      <c r="A149" s="149"/>
      <c r="B149" s="145"/>
      <c r="C149" s="143"/>
      <c r="D149" s="143"/>
      <c r="E149" s="143"/>
      <c r="F149" s="146"/>
      <c r="G149" s="143"/>
      <c r="H149" s="143"/>
    </row>
    <row r="150" spans="1:8" ht="34.15" customHeight="1" x14ac:dyDescent="0.45">
      <c r="A150" s="132"/>
      <c r="B150" s="153"/>
      <c r="C150" s="153"/>
      <c r="D150" s="143"/>
      <c r="E150" s="143"/>
      <c r="F150" s="146"/>
      <c r="G150" s="143"/>
      <c r="H150" s="143"/>
    </row>
    <row r="151" spans="1:8" ht="34.15" customHeight="1" x14ac:dyDescent="0.45">
      <c r="A151" s="132"/>
      <c r="B151" s="147"/>
      <c r="C151" s="148"/>
      <c r="D151" s="143"/>
      <c r="E151" s="143"/>
      <c r="F151" s="146"/>
      <c r="G151" s="143"/>
      <c r="H151" s="143"/>
    </row>
    <row r="152" spans="1:8" ht="34.15" customHeight="1" x14ac:dyDescent="0.45">
      <c r="A152" s="132"/>
      <c r="B152" s="147"/>
      <c r="C152" s="148"/>
      <c r="D152" s="143"/>
      <c r="E152" s="143"/>
      <c r="F152" s="146"/>
      <c r="G152" s="143"/>
      <c r="H152" s="143"/>
    </row>
    <row r="153" spans="1:8" ht="34.15" customHeight="1" x14ac:dyDescent="0.45">
      <c r="A153" s="132"/>
      <c r="B153" s="145"/>
      <c r="C153" s="143"/>
      <c r="D153" s="143"/>
      <c r="E153" s="143"/>
      <c r="F153" s="146"/>
      <c r="G153" s="143"/>
      <c r="H153" s="143"/>
    </row>
    <row r="154" spans="1:8" ht="34.15" customHeight="1" x14ac:dyDescent="0.45">
      <c r="A154" s="143"/>
      <c r="B154" s="145"/>
      <c r="C154" s="143"/>
      <c r="D154" s="143"/>
      <c r="E154" s="143"/>
      <c r="F154" s="146"/>
      <c r="G154" s="143"/>
      <c r="H154" s="143"/>
    </row>
    <row r="155" spans="1:8" ht="34.15" customHeight="1" x14ac:dyDescent="0.45">
      <c r="A155" s="150"/>
      <c r="B155" s="145"/>
      <c r="C155" s="143"/>
      <c r="D155" s="143"/>
      <c r="E155" s="143"/>
      <c r="F155" s="146"/>
      <c r="G155" s="143"/>
      <c r="H155" s="143"/>
    </row>
    <row r="156" spans="1:8" ht="34.15" customHeight="1" x14ac:dyDescent="0.45">
      <c r="A156" s="132"/>
      <c r="B156" s="153"/>
      <c r="C156" s="153"/>
      <c r="D156" s="143"/>
      <c r="E156" s="143"/>
      <c r="F156" s="146"/>
      <c r="G156" s="143"/>
      <c r="H156" s="143"/>
    </row>
    <row r="157" spans="1:8" ht="34.15" customHeight="1" x14ac:dyDescent="0.45">
      <c r="A157" s="132"/>
      <c r="B157" s="147"/>
      <c r="C157" s="148"/>
      <c r="D157" s="143"/>
      <c r="E157" s="143"/>
      <c r="F157" s="146"/>
      <c r="G157" s="143"/>
      <c r="H157" s="143"/>
    </row>
    <row r="158" spans="1:8" ht="34.15" customHeight="1" x14ac:dyDescent="0.45">
      <c r="A158" s="132"/>
      <c r="B158" s="147"/>
      <c r="C158" s="143"/>
      <c r="D158" s="143"/>
      <c r="E158" s="143"/>
      <c r="F158" s="146"/>
      <c r="G158" s="143"/>
      <c r="H158" s="143"/>
    </row>
    <row r="159" spans="1:8" ht="34.15" customHeight="1" x14ac:dyDescent="0.45">
      <c r="A159" s="132"/>
      <c r="B159" s="145"/>
      <c r="C159" s="143"/>
      <c r="D159" s="143"/>
      <c r="E159" s="143"/>
      <c r="F159" s="146"/>
      <c r="G159" s="143"/>
      <c r="H159" s="143"/>
    </row>
    <row r="160" spans="1:8" ht="34.15" customHeight="1" x14ac:dyDescent="0.45">
      <c r="A160" s="148"/>
      <c r="B160" s="145"/>
      <c r="C160" s="143"/>
      <c r="D160" s="143"/>
      <c r="E160" s="143"/>
      <c r="F160" s="146"/>
      <c r="G160" s="143"/>
      <c r="H160" s="143"/>
    </row>
    <row r="161" spans="1:8" ht="34.15" customHeight="1" x14ac:dyDescent="0.45">
      <c r="A161" s="142"/>
      <c r="B161" s="145"/>
      <c r="C161" s="143"/>
      <c r="D161" s="143"/>
      <c r="E161" s="143"/>
      <c r="F161" s="146"/>
      <c r="G161" s="143"/>
      <c r="H161" s="143"/>
    </row>
    <row r="162" spans="1:8" ht="34.15" customHeight="1" x14ac:dyDescent="0.45">
      <c r="A162" s="132"/>
      <c r="B162" s="153"/>
      <c r="C162" s="153"/>
      <c r="D162" s="143"/>
      <c r="E162" s="143"/>
      <c r="F162" s="146"/>
      <c r="G162" s="143"/>
      <c r="H162" s="143"/>
    </row>
    <row r="163" spans="1:8" ht="34.15" customHeight="1" x14ac:dyDescent="0.45">
      <c r="A163" s="132"/>
      <c r="B163" s="147"/>
      <c r="C163" s="148"/>
      <c r="D163" s="143"/>
      <c r="E163" s="143"/>
      <c r="F163" s="146"/>
      <c r="G163" s="143"/>
      <c r="H163" s="143"/>
    </row>
    <row r="164" spans="1:8" ht="34.15" customHeight="1" x14ac:dyDescent="0.45">
      <c r="A164" s="132"/>
      <c r="B164" s="147"/>
      <c r="C164" s="148"/>
      <c r="D164" s="143"/>
      <c r="E164" s="143"/>
      <c r="F164" s="146"/>
      <c r="G164" s="143"/>
      <c r="H164" s="143"/>
    </row>
    <row r="165" spans="1:8" ht="34.15" customHeight="1" x14ac:dyDescent="0.45">
      <c r="A165" s="132"/>
      <c r="B165" s="145"/>
      <c r="C165" s="143"/>
      <c r="D165" s="143"/>
      <c r="E165" s="143"/>
      <c r="F165" s="146"/>
      <c r="G165" s="143"/>
      <c r="H165" s="143"/>
    </row>
    <row r="166" spans="1:8" ht="34.15" customHeight="1" x14ac:dyDescent="0.45">
      <c r="A166" s="143"/>
      <c r="B166" s="145"/>
      <c r="C166" s="143"/>
      <c r="D166" s="143"/>
      <c r="E166" s="143"/>
      <c r="F166" s="146"/>
      <c r="G166" s="143"/>
      <c r="H166" s="143"/>
    </row>
    <row r="167" spans="1:8" ht="34.15" customHeight="1" x14ac:dyDescent="0.45">
      <c r="A167" s="142"/>
      <c r="B167" s="145"/>
      <c r="C167" s="143"/>
      <c r="D167" s="143"/>
      <c r="E167" s="143"/>
      <c r="F167" s="146"/>
      <c r="G167" s="143"/>
      <c r="H167" s="143"/>
    </row>
    <row r="168" spans="1:8" ht="34.15" customHeight="1" x14ac:dyDescent="0.45">
      <c r="A168" s="132"/>
      <c r="B168" s="153"/>
      <c r="C168" s="153"/>
      <c r="D168" s="143"/>
      <c r="E168" s="143"/>
      <c r="F168" s="146"/>
      <c r="G168" s="143"/>
      <c r="H168" s="143"/>
    </row>
    <row r="169" spans="1:8" ht="34.15" customHeight="1" x14ac:dyDescent="0.45">
      <c r="A169" s="132"/>
      <c r="B169" s="147"/>
      <c r="C169" s="148"/>
      <c r="D169" s="143"/>
      <c r="E169" s="143"/>
      <c r="F169" s="146"/>
      <c r="G169" s="143"/>
      <c r="H169" s="143"/>
    </row>
    <row r="170" spans="1:8" ht="34.15" customHeight="1" x14ac:dyDescent="0.45">
      <c r="A170" s="132"/>
      <c r="B170" s="147"/>
      <c r="C170" s="148"/>
      <c r="D170" s="143"/>
      <c r="E170" s="143"/>
      <c r="F170" s="146"/>
      <c r="G170" s="143"/>
      <c r="H170" s="143"/>
    </row>
    <row r="171" spans="1:8" ht="34.15" customHeight="1" x14ac:dyDescent="0.45">
      <c r="A171" s="132"/>
      <c r="B171" s="145"/>
      <c r="C171" s="143"/>
      <c r="D171" s="143"/>
      <c r="E171" s="143"/>
      <c r="F171" s="146"/>
      <c r="G171" s="143"/>
      <c r="H171" s="143"/>
    </row>
    <row r="172" spans="1:8" ht="34.15" customHeight="1" x14ac:dyDescent="0.45">
      <c r="A172" s="140"/>
      <c r="B172" s="145"/>
      <c r="C172" s="143"/>
      <c r="D172" s="143"/>
      <c r="E172" s="143"/>
      <c r="F172" s="146"/>
      <c r="G172" s="143"/>
      <c r="H172" s="143"/>
    </row>
    <row r="173" spans="1:8" ht="34.15" customHeight="1" x14ac:dyDescent="0.45">
      <c r="A173" s="132"/>
      <c r="B173" s="153"/>
      <c r="C173" s="153"/>
      <c r="D173" s="143"/>
      <c r="E173" s="143"/>
      <c r="F173" s="146"/>
      <c r="G173" s="143"/>
      <c r="H173" s="143"/>
    </row>
    <row r="174" spans="1:8" ht="34.15" customHeight="1" x14ac:dyDescent="0.45">
      <c r="A174" s="132"/>
      <c r="B174" s="147"/>
      <c r="C174" s="148"/>
      <c r="D174" s="143"/>
      <c r="E174" s="143"/>
      <c r="F174" s="146"/>
      <c r="G174" s="143"/>
      <c r="H174" s="143"/>
    </row>
    <row r="175" spans="1:8" ht="34.15" customHeight="1" x14ac:dyDescent="0.45">
      <c r="A175" s="132"/>
      <c r="B175" s="147"/>
      <c r="C175" s="143"/>
      <c r="D175" s="143"/>
      <c r="E175" s="143"/>
      <c r="F175" s="146"/>
      <c r="G175" s="143"/>
      <c r="H175" s="143"/>
    </row>
    <row r="176" spans="1:8" ht="34.15" customHeight="1" x14ac:dyDescent="0.45">
      <c r="A176" s="132"/>
      <c r="B176" s="145"/>
      <c r="C176" s="143"/>
      <c r="D176" s="143"/>
      <c r="E176" s="143"/>
      <c r="F176" s="146"/>
      <c r="G176" s="143"/>
      <c r="H176" s="143"/>
    </row>
    <row r="177" spans="1:8" ht="34.15" customHeight="1" x14ac:dyDescent="0.45">
      <c r="A177" s="143"/>
      <c r="B177" s="145"/>
      <c r="C177" s="143"/>
      <c r="D177" s="143"/>
      <c r="E177" s="143"/>
      <c r="F177" s="146"/>
      <c r="G177" s="143"/>
      <c r="H177" s="143"/>
    </row>
    <row r="178" spans="1:8" ht="34.15" customHeight="1" x14ac:dyDescent="0.45">
      <c r="A178" s="134"/>
      <c r="B178" s="145"/>
      <c r="C178" s="143"/>
      <c r="D178" s="143"/>
      <c r="E178" s="143"/>
      <c r="F178" s="146"/>
      <c r="G178" s="143"/>
      <c r="H178" s="143"/>
    </row>
    <row r="179" spans="1:8" ht="34.15" customHeight="1" x14ac:dyDescent="0.45">
      <c r="A179" s="132"/>
      <c r="B179" s="153"/>
      <c r="C179" s="153"/>
      <c r="D179" s="143"/>
      <c r="E179" s="143"/>
      <c r="F179" s="146"/>
      <c r="G179" s="143"/>
      <c r="H179" s="143"/>
    </row>
    <row r="180" spans="1:8" ht="34.15" customHeight="1" x14ac:dyDescent="0.45">
      <c r="A180" s="132"/>
      <c r="B180" s="147"/>
      <c r="C180" s="148"/>
      <c r="D180" s="143"/>
      <c r="E180" s="143"/>
      <c r="F180" s="146"/>
      <c r="G180" s="143"/>
      <c r="H180" s="143"/>
    </row>
    <row r="181" spans="1:8" ht="34.15" customHeight="1" x14ac:dyDescent="0.45">
      <c r="A181" s="132"/>
      <c r="B181" s="147"/>
      <c r="C181" s="143"/>
      <c r="D181" s="143"/>
      <c r="E181" s="143"/>
      <c r="F181" s="146"/>
      <c r="G181" s="143"/>
      <c r="H181" s="143"/>
    </row>
    <row r="182" spans="1:8" ht="34.15" customHeight="1" x14ac:dyDescent="0.45">
      <c r="A182" s="132"/>
      <c r="B182" s="145"/>
      <c r="C182" s="143"/>
      <c r="D182" s="143"/>
      <c r="E182" s="143"/>
      <c r="F182" s="146"/>
      <c r="G182" s="143"/>
      <c r="H182" s="143"/>
    </row>
    <row r="183" spans="1:8" ht="34.15" customHeight="1" x14ac:dyDescent="0.45">
      <c r="A183" s="143"/>
      <c r="B183" s="145"/>
      <c r="C183" s="143"/>
      <c r="D183" s="143"/>
      <c r="E183" s="143"/>
      <c r="F183" s="146"/>
      <c r="G183" s="143"/>
      <c r="H183" s="143"/>
    </row>
    <row r="184" spans="1:8" ht="34.15" customHeight="1" x14ac:dyDescent="0.45">
      <c r="A184" s="143"/>
      <c r="B184" s="145"/>
      <c r="C184" s="143"/>
      <c r="D184" s="143"/>
      <c r="E184" s="143"/>
      <c r="F184" s="146"/>
      <c r="G184" s="143"/>
      <c r="H184" s="143"/>
    </row>
    <row r="185" spans="1:8" ht="34.15" customHeight="1" x14ac:dyDescent="0.45">
      <c r="A185" s="143"/>
      <c r="B185" s="145"/>
      <c r="C185" s="143"/>
      <c r="D185" s="143"/>
      <c r="E185" s="143"/>
      <c r="F185" s="146"/>
      <c r="G185" s="143"/>
      <c r="H185" s="143"/>
    </row>
    <row r="186" spans="1:8" ht="34.15" customHeight="1" x14ac:dyDescent="0.45">
      <c r="A186" s="143"/>
      <c r="B186" s="145"/>
      <c r="C186" s="143"/>
      <c r="D186" s="143"/>
      <c r="E186" s="143"/>
      <c r="F186" s="146"/>
      <c r="G186" s="143"/>
      <c r="H186" s="143"/>
    </row>
    <row r="187" spans="1:8" ht="34.15" customHeight="1" x14ac:dyDescent="0.45">
      <c r="A187" s="143"/>
      <c r="B187" s="145"/>
      <c r="C187" s="143"/>
      <c r="D187" s="143"/>
      <c r="E187" s="143"/>
      <c r="F187" s="146"/>
      <c r="G187" s="143"/>
      <c r="H187" s="143"/>
    </row>
    <row r="188" spans="1:8" ht="34.15" customHeight="1" x14ac:dyDescent="0.45">
      <c r="A188" s="143"/>
      <c r="B188" s="145"/>
      <c r="C188" s="143"/>
      <c r="D188" s="143"/>
      <c r="E188" s="143"/>
      <c r="F188" s="146"/>
      <c r="G188" s="143"/>
      <c r="H188" s="143"/>
    </row>
    <row r="189" spans="1:8" ht="34.15" customHeight="1" x14ac:dyDescent="0.45">
      <c r="A189" s="143"/>
      <c r="B189" s="145"/>
      <c r="C189" s="143"/>
      <c r="D189" s="143"/>
      <c r="E189" s="143"/>
      <c r="F189" s="146"/>
      <c r="G189" s="143"/>
      <c r="H189" s="143"/>
    </row>
    <row r="190" spans="1:8" ht="34.15" customHeight="1" x14ac:dyDescent="0.45">
      <c r="A190" s="143"/>
      <c r="B190" s="145"/>
      <c r="C190" s="143"/>
      <c r="D190" s="143"/>
      <c r="E190" s="143"/>
      <c r="F190" s="146"/>
      <c r="G190" s="143"/>
      <c r="H190" s="143"/>
    </row>
    <row r="191" spans="1:8" ht="34.15" customHeight="1" x14ac:dyDescent="0.45">
      <c r="A191" s="143"/>
      <c r="B191" s="145"/>
      <c r="C191" s="143"/>
      <c r="D191" s="143"/>
      <c r="E191" s="143"/>
      <c r="F191" s="146"/>
      <c r="G191" s="143"/>
      <c r="H191" s="143"/>
    </row>
    <row r="192" spans="1:8" ht="34.15" customHeight="1" x14ac:dyDescent="0.45">
      <c r="A192" s="143"/>
      <c r="B192" s="145"/>
      <c r="C192" s="143"/>
      <c r="D192" s="143"/>
      <c r="E192" s="143"/>
      <c r="F192" s="146"/>
      <c r="G192" s="143"/>
      <c r="H192" s="143"/>
    </row>
    <row r="193" spans="1:8" ht="34.15" customHeight="1" x14ac:dyDescent="0.45">
      <c r="A193" s="143"/>
      <c r="B193" s="145"/>
      <c r="C193" s="143"/>
      <c r="D193" s="143"/>
      <c r="E193" s="143"/>
      <c r="F193" s="146"/>
      <c r="G193" s="143"/>
      <c r="H193" s="143"/>
    </row>
    <row r="194" spans="1:8" ht="34.15" customHeight="1" x14ac:dyDescent="0.45">
      <c r="A194" s="143"/>
      <c r="B194" s="145"/>
      <c r="C194" s="143"/>
      <c r="D194" s="143"/>
      <c r="E194" s="143"/>
      <c r="F194" s="146"/>
      <c r="G194" s="143"/>
      <c r="H194" s="143"/>
    </row>
    <row r="195" spans="1:8" ht="34.15" customHeight="1" x14ac:dyDescent="0.45">
      <c r="A195" s="143"/>
      <c r="B195" s="145"/>
      <c r="C195" s="143"/>
      <c r="D195" s="143"/>
      <c r="E195" s="143"/>
      <c r="F195" s="146"/>
      <c r="G195" s="143"/>
      <c r="H195" s="143"/>
    </row>
    <row r="196" spans="1:8" ht="34.15" customHeight="1" x14ac:dyDescent="0.45">
      <c r="A196" s="143"/>
      <c r="B196" s="145"/>
      <c r="C196" s="143"/>
      <c r="D196" s="143"/>
      <c r="E196" s="143"/>
      <c r="F196" s="146"/>
      <c r="G196" s="143"/>
      <c r="H196" s="143"/>
    </row>
    <row r="197" spans="1:8" ht="34.15" customHeight="1" x14ac:dyDescent="0.45">
      <c r="A197" s="143"/>
      <c r="B197" s="145"/>
      <c r="C197" s="143"/>
      <c r="D197" s="143"/>
      <c r="E197" s="143"/>
      <c r="F197" s="146"/>
      <c r="G197" s="143"/>
      <c r="H197" s="143"/>
    </row>
    <row r="198" spans="1:8" ht="34.15" customHeight="1" x14ac:dyDescent="0.45">
      <c r="A198" s="143"/>
      <c r="B198" s="145"/>
      <c r="C198" s="143"/>
      <c r="D198" s="143"/>
      <c r="E198" s="143"/>
      <c r="F198" s="146"/>
      <c r="G198" s="143"/>
      <c r="H198" s="143"/>
    </row>
    <row r="199" spans="1:8" ht="34.15" customHeight="1" x14ac:dyDescent="0.45">
      <c r="A199" s="143"/>
      <c r="B199" s="145"/>
      <c r="C199" s="143"/>
      <c r="D199" s="143"/>
      <c r="E199" s="143"/>
      <c r="F199" s="146"/>
      <c r="G199" s="143"/>
      <c r="H199" s="143"/>
    </row>
    <row r="200" spans="1:8" ht="34.15" customHeight="1" x14ac:dyDescent="0.45">
      <c r="A200" s="143"/>
      <c r="B200" s="145"/>
      <c r="C200" s="143"/>
      <c r="D200" s="143"/>
      <c r="E200" s="143"/>
      <c r="F200" s="146"/>
      <c r="G200" s="143"/>
      <c r="H200" s="143"/>
    </row>
    <row r="201" spans="1:8" ht="34.15" customHeight="1" x14ac:dyDescent="0.45">
      <c r="A201" s="143"/>
      <c r="B201" s="145"/>
      <c r="C201" s="143"/>
      <c r="D201" s="143"/>
      <c r="E201" s="143"/>
      <c r="F201" s="146"/>
      <c r="G201" s="143"/>
      <c r="H201" s="143"/>
    </row>
    <row r="202" spans="1:8" ht="34.15" customHeight="1" x14ac:dyDescent="0.45">
      <c r="A202" s="143"/>
      <c r="B202" s="145"/>
      <c r="C202" s="143"/>
      <c r="D202" s="143"/>
      <c r="E202" s="143"/>
      <c r="F202" s="146"/>
      <c r="G202" s="143"/>
      <c r="H202" s="143"/>
    </row>
    <row r="203" spans="1:8" ht="34.15" customHeight="1" x14ac:dyDescent="0.45">
      <c r="A203" s="143"/>
      <c r="B203" s="145"/>
      <c r="C203" s="143"/>
      <c r="D203" s="143"/>
      <c r="E203" s="143"/>
      <c r="F203" s="146"/>
      <c r="G203" s="143"/>
      <c r="H203" s="143"/>
    </row>
    <row r="204" spans="1:8" ht="34.15" customHeight="1" x14ac:dyDescent="0.45">
      <c r="A204" s="143"/>
      <c r="B204" s="145"/>
      <c r="C204" s="143"/>
      <c r="D204" s="143"/>
      <c r="E204" s="143"/>
      <c r="F204" s="146"/>
      <c r="G204" s="143"/>
      <c r="H204" s="143"/>
    </row>
    <row r="205" spans="1:8" ht="34.15" customHeight="1" x14ac:dyDescent="0.45">
      <c r="A205" s="143"/>
      <c r="B205" s="145"/>
      <c r="C205" s="143"/>
      <c r="D205" s="143"/>
      <c r="E205" s="143"/>
      <c r="F205" s="146"/>
      <c r="G205" s="143"/>
      <c r="H205" s="143"/>
    </row>
    <row r="206" spans="1:8" ht="34.15" customHeight="1" x14ac:dyDescent="0.45">
      <c r="A206" s="143"/>
      <c r="B206" s="145"/>
      <c r="C206" s="143"/>
      <c r="D206" s="143"/>
      <c r="E206" s="143"/>
      <c r="F206" s="146"/>
      <c r="G206" s="143"/>
      <c r="H206" s="143"/>
    </row>
    <row r="207" spans="1:8" ht="34.15" customHeight="1" x14ac:dyDescent="0.45">
      <c r="A207" s="143"/>
      <c r="B207" s="145"/>
      <c r="C207" s="143"/>
      <c r="D207" s="143"/>
      <c r="E207" s="143"/>
      <c r="F207" s="146"/>
      <c r="G207" s="143"/>
      <c r="H207" s="143"/>
    </row>
    <row r="208" spans="1:8" ht="34.15" customHeight="1" x14ac:dyDescent="0.45">
      <c r="A208" s="143"/>
      <c r="B208" s="145"/>
      <c r="C208" s="143"/>
      <c r="D208" s="143"/>
      <c r="E208" s="143"/>
      <c r="F208" s="146"/>
      <c r="G208" s="143"/>
      <c r="H208" s="143"/>
    </row>
    <row r="209" spans="1:8" ht="34.15" customHeight="1" x14ac:dyDescent="0.45">
      <c r="A209" s="143"/>
      <c r="B209" s="145"/>
      <c r="C209" s="143"/>
      <c r="D209" s="143"/>
      <c r="E209" s="143"/>
      <c r="F209" s="146"/>
      <c r="G209" s="143"/>
      <c r="H209" s="143"/>
    </row>
    <row r="210" spans="1:8" ht="18.5" x14ac:dyDescent="0.45">
      <c r="A210" s="143"/>
      <c r="B210" s="145"/>
      <c r="C210" s="143"/>
      <c r="D210" s="143"/>
      <c r="E210" s="143"/>
      <c r="F210" s="146"/>
      <c r="G210" s="143"/>
      <c r="H210" s="143"/>
    </row>
    <row r="211" spans="1:8" ht="18.5" x14ac:dyDescent="0.45">
      <c r="A211" s="143"/>
      <c r="B211" s="145"/>
      <c r="C211" s="143"/>
      <c r="D211" s="143"/>
      <c r="E211" s="143"/>
      <c r="F211" s="146"/>
      <c r="G211" s="143"/>
      <c r="H211" s="143"/>
    </row>
    <row r="212" spans="1:8" ht="18.5" x14ac:dyDescent="0.45">
      <c r="A212" s="143"/>
      <c r="B212" s="145"/>
      <c r="C212" s="143"/>
      <c r="D212" s="143"/>
      <c r="E212" s="143"/>
      <c r="F212" s="146"/>
      <c r="G212" s="143"/>
      <c r="H212" s="143"/>
    </row>
    <row r="213" spans="1:8" ht="18.5" x14ac:dyDescent="0.45">
      <c r="A213" s="143"/>
      <c r="B213" s="145"/>
      <c r="C213" s="143"/>
      <c r="D213" s="143"/>
      <c r="E213" s="143"/>
      <c r="F213" s="146"/>
      <c r="G213" s="143"/>
      <c r="H213" s="143"/>
    </row>
    <row r="214" spans="1:8" ht="18.5" x14ac:dyDescent="0.45">
      <c r="A214" s="143"/>
      <c r="B214" s="145"/>
      <c r="C214" s="143"/>
      <c r="D214" s="143"/>
      <c r="E214" s="143"/>
      <c r="F214" s="146"/>
      <c r="G214" s="143"/>
      <c r="H214" s="143"/>
    </row>
    <row r="215" spans="1:8" ht="18.5" x14ac:dyDescent="0.45">
      <c r="A215" s="143"/>
      <c r="B215" s="145"/>
      <c r="C215" s="143"/>
      <c r="D215" s="143"/>
      <c r="E215" s="143"/>
      <c r="F215" s="146"/>
      <c r="G215" s="143"/>
      <c r="H215" s="143"/>
    </row>
    <row r="216" spans="1:8" ht="18.5" x14ac:dyDescent="0.45">
      <c r="A216" s="143"/>
      <c r="B216" s="145"/>
      <c r="C216" s="143"/>
      <c r="D216" s="143"/>
      <c r="E216" s="143"/>
      <c r="F216" s="146"/>
      <c r="G216" s="143"/>
      <c r="H216" s="143"/>
    </row>
    <row r="217" spans="1:8" ht="18.5" x14ac:dyDescent="0.45">
      <c r="A217" s="143"/>
      <c r="B217" s="145"/>
      <c r="C217" s="143"/>
      <c r="D217" s="143"/>
      <c r="E217" s="143"/>
      <c r="F217" s="146"/>
      <c r="G217" s="143"/>
      <c r="H217" s="143"/>
    </row>
    <row r="218" spans="1:8" ht="18.5" x14ac:dyDescent="0.45">
      <c r="A218" s="143"/>
      <c r="B218" s="145"/>
      <c r="C218" s="143"/>
      <c r="D218" s="143"/>
      <c r="E218" s="143"/>
      <c r="F218" s="146"/>
      <c r="G218" s="143"/>
      <c r="H218" s="143"/>
    </row>
    <row r="219" spans="1:8" ht="18.5" x14ac:dyDescent="0.45">
      <c r="A219" s="143"/>
      <c r="B219" s="145"/>
      <c r="C219" s="143"/>
      <c r="D219" s="143"/>
      <c r="E219" s="143"/>
      <c r="F219" s="146"/>
      <c r="G219" s="143"/>
      <c r="H219" s="143"/>
    </row>
    <row r="220" spans="1:8" ht="18.5" x14ac:dyDescent="0.45">
      <c r="A220" s="143"/>
      <c r="B220" s="145"/>
      <c r="C220" s="143"/>
      <c r="D220" s="143"/>
      <c r="E220" s="143"/>
      <c r="F220" s="146"/>
      <c r="G220" s="143"/>
      <c r="H220" s="143"/>
    </row>
    <row r="221" spans="1:8" ht="18.5" x14ac:dyDescent="0.45">
      <c r="A221" s="143"/>
      <c r="B221" s="145"/>
      <c r="C221" s="143"/>
      <c r="D221" s="143"/>
      <c r="E221" s="143"/>
      <c r="F221" s="146"/>
      <c r="G221" s="143"/>
      <c r="H221" s="143"/>
    </row>
    <row r="222" spans="1:8" ht="18.5" x14ac:dyDescent="0.45">
      <c r="A222" s="143"/>
      <c r="B222" s="145"/>
      <c r="C222" s="143"/>
      <c r="D222" s="143"/>
      <c r="E222" s="143"/>
      <c r="F222" s="146"/>
      <c r="G222" s="143"/>
      <c r="H222" s="143"/>
    </row>
    <row r="223" spans="1:8" ht="18.5" x14ac:dyDescent="0.45">
      <c r="A223" s="143"/>
      <c r="B223" s="145"/>
      <c r="C223" s="143"/>
      <c r="D223" s="143"/>
      <c r="E223" s="143"/>
      <c r="F223" s="146"/>
      <c r="G223" s="143"/>
      <c r="H223" s="143"/>
    </row>
    <row r="224" spans="1:8" ht="18.5" x14ac:dyDescent="0.45">
      <c r="A224" s="143"/>
      <c r="B224" s="145"/>
      <c r="C224" s="143"/>
      <c r="D224" s="143"/>
      <c r="E224" s="143"/>
      <c r="F224" s="146"/>
      <c r="G224" s="143"/>
      <c r="H224" s="143"/>
    </row>
    <row r="225" spans="1:8" ht="18.5" x14ac:dyDescent="0.45">
      <c r="A225" s="143"/>
      <c r="B225" s="145"/>
      <c r="C225" s="143"/>
      <c r="D225" s="143"/>
      <c r="E225" s="143"/>
      <c r="F225" s="146"/>
      <c r="G225" s="143"/>
      <c r="H225" s="143"/>
    </row>
    <row r="226" spans="1:8" ht="18.5" x14ac:dyDescent="0.45">
      <c r="A226" s="143"/>
      <c r="B226" s="145"/>
      <c r="C226" s="143"/>
      <c r="D226" s="143"/>
      <c r="E226" s="143"/>
      <c r="F226" s="146"/>
      <c r="G226" s="143"/>
    </row>
    <row r="227" spans="1:8" ht="18.5" x14ac:dyDescent="0.45">
      <c r="A227" s="143"/>
      <c r="B227" s="145"/>
      <c r="C227" s="143"/>
      <c r="D227" s="143"/>
      <c r="E227" s="143"/>
      <c r="F227" s="146"/>
      <c r="G227" s="143"/>
    </row>
    <row r="228" spans="1:8" ht="18.5" x14ac:dyDescent="0.45">
      <c r="A228" s="143"/>
      <c r="B228" s="145"/>
      <c r="C228" s="143"/>
      <c r="D228" s="143"/>
      <c r="E228" s="143"/>
      <c r="F228" s="146"/>
      <c r="G228" s="143"/>
    </row>
    <row r="229" spans="1:8" ht="18.5" x14ac:dyDescent="0.45">
      <c r="A229" s="143"/>
      <c r="B229" s="145"/>
      <c r="C229" s="143"/>
      <c r="D229" s="143"/>
      <c r="E229" s="143"/>
      <c r="F229" s="146"/>
      <c r="G229" s="143"/>
    </row>
    <row r="230" spans="1:8" ht="18.5" x14ac:dyDescent="0.45">
      <c r="A230" s="143"/>
      <c r="B230" s="145"/>
      <c r="C230" s="143"/>
      <c r="D230" s="143"/>
      <c r="E230" s="143"/>
      <c r="F230" s="146"/>
      <c r="G230" s="143"/>
    </row>
    <row r="231" spans="1:8" ht="18.5" x14ac:dyDescent="0.45">
      <c r="A231" s="143"/>
      <c r="B231" s="145"/>
      <c r="C231" s="143"/>
      <c r="D231" s="143"/>
      <c r="E231" s="143"/>
      <c r="F231" s="146"/>
      <c r="G231" s="143"/>
    </row>
    <row r="232" spans="1:8" ht="18.5" x14ac:dyDescent="0.45">
      <c r="A232" s="143"/>
      <c r="B232" s="145"/>
      <c r="C232" s="143"/>
      <c r="D232" s="143"/>
      <c r="E232" s="143"/>
      <c r="F232" s="146"/>
      <c r="G232" s="143"/>
    </row>
    <row r="233" spans="1:8" ht="18.5" x14ac:dyDescent="0.45">
      <c r="A233" s="143"/>
      <c r="B233" s="145"/>
      <c r="C233" s="143"/>
      <c r="D233" s="143"/>
      <c r="E233" s="143"/>
      <c r="F233" s="146"/>
      <c r="G233" s="143"/>
    </row>
    <row r="234" spans="1:8" ht="18.5" x14ac:dyDescent="0.45">
      <c r="A234" s="143"/>
      <c r="B234" s="145"/>
      <c r="C234" s="143"/>
      <c r="D234" s="143"/>
      <c r="E234" s="143"/>
      <c r="F234" s="146"/>
      <c r="G234" s="143"/>
    </row>
    <row r="235" spans="1:8" ht="18.5" x14ac:dyDescent="0.45">
      <c r="A235" s="143"/>
      <c r="B235" s="145"/>
      <c r="C235" s="143"/>
      <c r="D235" s="143"/>
      <c r="E235" s="143"/>
      <c r="F235" s="146"/>
      <c r="G235" s="143"/>
    </row>
    <row r="236" spans="1:8" ht="18.5" x14ac:dyDescent="0.45">
      <c r="A236" s="143"/>
      <c r="B236" s="145"/>
      <c r="C236" s="143"/>
      <c r="D236" s="143"/>
      <c r="E236" s="143"/>
      <c r="F236" s="146"/>
      <c r="G236" s="143"/>
    </row>
    <row r="237" spans="1:8" ht="18.5" x14ac:dyDescent="0.45">
      <c r="A237" s="143"/>
      <c r="B237" s="145"/>
      <c r="C237" s="143"/>
      <c r="D237" s="143"/>
      <c r="E237" s="143"/>
      <c r="F237" s="146"/>
      <c r="G237" s="143"/>
    </row>
    <row r="238" spans="1:8" ht="18.5" x14ac:dyDescent="0.45">
      <c r="A238" s="143"/>
      <c r="B238" s="145"/>
      <c r="C238" s="143"/>
      <c r="D238" s="143"/>
      <c r="E238" s="143"/>
      <c r="F238" s="146"/>
      <c r="G238" s="143"/>
    </row>
  </sheetData>
  <mergeCells count="31">
    <mergeCell ref="B64:C64"/>
    <mergeCell ref="B65:C65"/>
    <mergeCell ref="A91:A92"/>
    <mergeCell ref="A142:A143"/>
    <mergeCell ref="F21:G21"/>
    <mergeCell ref="F38:G38"/>
    <mergeCell ref="A56:A57"/>
    <mergeCell ref="B56:C56"/>
    <mergeCell ref="D56:D57"/>
    <mergeCell ref="E56:F56"/>
    <mergeCell ref="G56:H56"/>
    <mergeCell ref="B63:C63"/>
    <mergeCell ref="A38:A39"/>
    <mergeCell ref="B38:C38"/>
    <mergeCell ref="D38:E38"/>
    <mergeCell ref="H38:I38"/>
    <mergeCell ref="A54:I54"/>
    <mergeCell ref="A55:H55"/>
    <mergeCell ref="A19:I19"/>
    <mergeCell ref="A21:A22"/>
    <mergeCell ref="B21:C21"/>
    <mergeCell ref="D21:E21"/>
    <mergeCell ref="H21:I21"/>
    <mergeCell ref="A36:I36"/>
    <mergeCell ref="A2:I2"/>
    <mergeCell ref="A3:H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прил6</vt:lpstr>
      <vt:lpstr>прил7</vt:lpstr>
      <vt:lpstr>прил8</vt:lpstr>
      <vt:lpstr>прил9</vt:lpstr>
      <vt:lpstr>прил12</vt:lpstr>
      <vt:lpstr>Прочие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прил12!Область_печати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maksimova</dc:creator>
  <cp:lastModifiedBy>Стручкова Марианна Алексеевна</cp:lastModifiedBy>
  <cp:lastPrinted>2019-12-30T06:30:48Z</cp:lastPrinted>
  <dcterms:created xsi:type="dcterms:W3CDTF">2017-03-03T02:43:01Z</dcterms:created>
  <dcterms:modified xsi:type="dcterms:W3CDTF">2020-01-09T07:52:37Z</dcterms:modified>
</cp:coreProperties>
</file>